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49" firstSheet="1" activeTab="1"/>
  </bookViews>
  <sheets>
    <sheet name="Kategorie I. 2012 a mladsi" sheetId="1" r:id="rId1"/>
    <sheet name="Kategorie II. 2011" sheetId="2" r:id="rId2"/>
    <sheet name="Kategorie III. 2010" sheetId="3" r:id="rId3"/>
    <sheet name="Kategorie III. 2009" sheetId="4" r:id="rId4"/>
    <sheet name="Kategorie IV. 2008" sheetId="5" r:id="rId5"/>
    <sheet name="Kategorie IV. 2007-2006" sheetId="6" r:id="rId6"/>
    <sheet name="Kategorie V. 2005 - 2003" sheetId="7" r:id="rId7"/>
    <sheet name="Kategorie VI. 2002 a starší" sheetId="8" r:id="rId8"/>
    <sheet name="Kategorie VII. 2008" sheetId="9" r:id="rId9"/>
    <sheet name="Kategorie VII. 2007 - 2006" sheetId="10" r:id="rId10"/>
    <sheet name="Kategorie VIII. 2005 - 2002" sheetId="11" r:id="rId11"/>
    <sheet name="prehled" sheetId="12" r:id="rId12"/>
  </sheets>
  <definedNames>
    <definedName name="_xlnm._FilterDatabase" localSheetId="11" hidden="1">'prehled'!$A$1:$D$1</definedName>
    <definedName name="_xlnm.Print_Area" localSheetId="1">'Kategorie II. 2011'!$A$1:$K$26</definedName>
    <definedName name="_xlnm.Print_Area" localSheetId="2">'Kategorie III. 2010'!$A$1:$K$28</definedName>
    <definedName name="_xlnm.Print_Area" localSheetId="4">'Kategorie IV. 2008'!$A$1:$K$8</definedName>
    <definedName name="_xlnm.Print_Area" localSheetId="6">'Kategorie V. 2005 - 2003'!$A$1:$K$10</definedName>
    <definedName name="_xlnm.Print_Area" localSheetId="7">'Kategorie VI. 2002 a starší'!$A$1:$K$13</definedName>
    <definedName name="_xlnm.Print_Area" localSheetId="8">'Kategorie VII. 2008'!$A$1:$K$15</definedName>
  </definedNames>
  <calcPr fullCalcOnLoad="1"/>
</workbook>
</file>

<file path=xl/sharedStrings.xml><?xml version="1.0" encoding="utf-8"?>
<sst xmlns="http://schemas.openxmlformats.org/spreadsheetml/2006/main" count="742" uniqueCount="196">
  <si>
    <t>oddíl</t>
  </si>
  <si>
    <t>kladina</t>
  </si>
  <si>
    <t>celkem</t>
  </si>
  <si>
    <t>roč.</t>
  </si>
  <si>
    <t>lavička</t>
  </si>
  <si>
    <t>prostná</t>
  </si>
  <si>
    <t>známka D</t>
  </si>
  <si>
    <t>známka E</t>
  </si>
  <si>
    <t>celkem lavička</t>
  </si>
  <si>
    <t>celkem prostná</t>
  </si>
  <si>
    <t>celkem kladina</t>
  </si>
  <si>
    <t>TJ Lokomotiva Pardubice</t>
  </si>
  <si>
    <t>TJ Jičín</t>
  </si>
  <si>
    <t>TJ Spartak Vrchlabí</t>
  </si>
  <si>
    <t>Huberová Viktorie</t>
  </si>
  <si>
    <t>Lustyková Viktorie</t>
  </si>
  <si>
    <t>Pavlíčková Karolína</t>
  </si>
  <si>
    <t>Mašátová Anna</t>
  </si>
  <si>
    <t>Drusanová Valerie</t>
  </si>
  <si>
    <t>Vyziblová Viktorie</t>
  </si>
  <si>
    <t>Sokol Pardubice</t>
  </si>
  <si>
    <t>Klecová Johana</t>
  </si>
  <si>
    <t>Pospíšilová Ema</t>
  </si>
  <si>
    <t>TJ Sokol Chrudim</t>
  </si>
  <si>
    <t>Salvét Maya</t>
  </si>
  <si>
    <t>TJ Doksy</t>
  </si>
  <si>
    <t>Tesařová Nikola</t>
  </si>
  <si>
    <t>Šťastná Adéla</t>
  </si>
  <si>
    <t>Cermanová Anna</t>
  </si>
  <si>
    <t>Menoušková Tereza</t>
  </si>
  <si>
    <t>Brožíková Barbora</t>
  </si>
  <si>
    <t>SG Všetaty</t>
  </si>
  <si>
    <t>SG Liberec</t>
  </si>
  <si>
    <t>Průšková Zuzana</t>
  </si>
  <si>
    <t>malá kladina</t>
  </si>
  <si>
    <t>Horníková Karolína</t>
  </si>
  <si>
    <t>Tichá Anna</t>
  </si>
  <si>
    <t>Kadlečková Natálie</t>
  </si>
  <si>
    <t>Kulhavá Sára</t>
  </si>
  <si>
    <t>Plachá Emily</t>
  </si>
  <si>
    <t>Malinová Zoe Izabell</t>
  </si>
  <si>
    <t>Švermová Kateřina</t>
  </si>
  <si>
    <t>SG TJ Sokol Hradec Králové</t>
  </si>
  <si>
    <t>Procházková Elen</t>
  </si>
  <si>
    <t>Chvojková Nela</t>
  </si>
  <si>
    <t>Krykorková Zuzana</t>
  </si>
  <si>
    <t>Bartůňková Nela</t>
  </si>
  <si>
    <t>Špidlenová Lucie</t>
  </si>
  <si>
    <t>Karbanová Natálka</t>
  </si>
  <si>
    <t>Holá Kristýna</t>
  </si>
  <si>
    <t>Šimonová Bára</t>
  </si>
  <si>
    <t>Molitorová Klára</t>
  </si>
  <si>
    <t>Seidlová Andrea</t>
  </si>
  <si>
    <t>Silberová Aneta</t>
  </si>
  <si>
    <t>Wildová Adéla</t>
  </si>
  <si>
    <t>Baňkowská Aneta</t>
  </si>
  <si>
    <t>Dobiášová Nela</t>
  </si>
  <si>
    <t>příjmení a jméno</t>
  </si>
  <si>
    <t>Mikolášová Ema</t>
  </si>
  <si>
    <t>Baňkowská Adéla</t>
  </si>
  <si>
    <t>Poláková Tereza</t>
  </si>
  <si>
    <t>Hartová Nelly</t>
  </si>
  <si>
    <t>Šťastná Elisabeth Aneta</t>
  </si>
  <si>
    <t>Hlůžková Denisa</t>
  </si>
  <si>
    <t>Škorpilová Julie</t>
  </si>
  <si>
    <t>Kamenská Klaudie</t>
  </si>
  <si>
    <t>Matoušková Kateřina</t>
  </si>
  <si>
    <t>Krejbichová Eliška</t>
  </si>
  <si>
    <t>Listoňová Aneta</t>
  </si>
  <si>
    <t>Vránová Markéta</t>
  </si>
  <si>
    <t>Herzánová Valentýna</t>
  </si>
  <si>
    <t>Bakešová Adéla</t>
  </si>
  <si>
    <t>Vyňuchalová Kristýna</t>
  </si>
  <si>
    <t>Stejskalová Marika</t>
  </si>
  <si>
    <t>Walterová Viktorie</t>
  </si>
  <si>
    <t>Vaňátková Nela</t>
  </si>
  <si>
    <t>Špatenková Tina</t>
  </si>
  <si>
    <t>Glogarová Aneta</t>
  </si>
  <si>
    <t>Šubrtová Michaela</t>
  </si>
  <si>
    <t>Jakubská Kateřina</t>
  </si>
  <si>
    <t>Vycpálková Dorotka</t>
  </si>
  <si>
    <t>Kratochvílová Aneta</t>
  </si>
  <si>
    <t>Auersvaldová Agáta</t>
  </si>
  <si>
    <t>Medlíková Alexandra</t>
  </si>
  <si>
    <t>Kopáčková Anežka</t>
  </si>
  <si>
    <t>Lepltová Šárka</t>
  </si>
  <si>
    <t>Kalenská Gabriela</t>
  </si>
  <si>
    <t>Šolcová Anna</t>
  </si>
  <si>
    <t>Prášková Elizabeth</t>
  </si>
  <si>
    <t>Němečková Klára</t>
  </si>
  <si>
    <t>Kalenská Viktorie</t>
  </si>
  <si>
    <t>Mrázová Valerie</t>
  </si>
  <si>
    <t>Procházková Aneta</t>
  </si>
  <si>
    <t>Petrusová Anežka</t>
  </si>
  <si>
    <t>Šmídová Stela</t>
  </si>
  <si>
    <t>Kovářová Zuzana</t>
  </si>
  <si>
    <t>Mayerová Leona</t>
  </si>
  <si>
    <t>Pospíšilová Julie</t>
  </si>
  <si>
    <t>Šmídová Ema</t>
  </si>
  <si>
    <t>Žídková Adriana</t>
  </si>
  <si>
    <t>Sedláčková Gabriela</t>
  </si>
  <si>
    <t>Janderová Zuzana</t>
  </si>
  <si>
    <t>Kategorie III. - roč. 2009</t>
  </si>
  <si>
    <t>Novotná Viola</t>
  </si>
  <si>
    <t>jméno</t>
  </si>
  <si>
    <t>ročník</t>
  </si>
  <si>
    <t>stav</t>
  </si>
  <si>
    <t>kladina má přednost u shody známek</t>
  </si>
  <si>
    <t>Kategorie I. - roč. 2012 a mladší</t>
  </si>
  <si>
    <t>Malinová Klaudie</t>
  </si>
  <si>
    <t>Brožíková Johana</t>
  </si>
  <si>
    <t>TJ Spartak Vrchlabi</t>
  </si>
  <si>
    <t>Hrdinová Nela</t>
  </si>
  <si>
    <t>Braunová Viktorka</t>
  </si>
  <si>
    <t>Havlíčková Terezie</t>
  </si>
  <si>
    <t>Škeříková Beata</t>
  </si>
  <si>
    <t>Záklasníková Mariana</t>
  </si>
  <si>
    <t>Pěničková Alena</t>
  </si>
  <si>
    <t>Vaňková Hermína</t>
  </si>
  <si>
    <t>Sirůčková Barbora</t>
  </si>
  <si>
    <t>Šťovíčková Štěpánka</t>
  </si>
  <si>
    <t>Bourová Eliška</t>
  </si>
  <si>
    <t>Červenková Adriana</t>
  </si>
  <si>
    <t>Netolická Kristýna</t>
  </si>
  <si>
    <t>Netolická Kateřina</t>
  </si>
  <si>
    <t>Říhová Tereza</t>
  </si>
  <si>
    <t>Kategorie II. - roč. 2011</t>
  </si>
  <si>
    <t>Čechlovská Kristýna</t>
  </si>
  <si>
    <t>Berto Aschley</t>
  </si>
  <si>
    <t>Jiroušková Karolína</t>
  </si>
  <si>
    <t>Součková Alexandra</t>
  </si>
  <si>
    <t>Braunová Sofie</t>
  </si>
  <si>
    <t>Grimmová Klára</t>
  </si>
  <si>
    <t>Pelantová Charlote</t>
  </si>
  <si>
    <t>Nolová Kristýna</t>
  </si>
  <si>
    <t>Kaňková Kristýna</t>
  </si>
  <si>
    <t>Krobová Alice</t>
  </si>
  <si>
    <t>Vrzalová Rozárie</t>
  </si>
  <si>
    <t>Dvořáková Nicol</t>
  </si>
  <si>
    <t>Kratochvílová Sofie</t>
  </si>
  <si>
    <t>Karbanová  Amálie</t>
  </si>
  <si>
    <t>Kategorie III. - roč. 2010</t>
  </si>
  <si>
    <t>Stejskalová Adriana</t>
  </si>
  <si>
    <t>Škrhová Eliška</t>
  </si>
  <si>
    <t>Antošová Daniela</t>
  </si>
  <si>
    <t>Soukupová Kristina</t>
  </si>
  <si>
    <t>Zelená Barbora</t>
  </si>
  <si>
    <t>Pikorová Denisa</t>
  </si>
  <si>
    <t>Nejedlá Eliška</t>
  </si>
  <si>
    <t>Horáčková Tereza</t>
  </si>
  <si>
    <t>Smereková Tereza</t>
  </si>
  <si>
    <t>Krobotová Viola</t>
  </si>
  <si>
    <t>Vyziblová Amálie</t>
  </si>
  <si>
    <t>Kategorie IV. - roč. 2008 žákyně B</t>
  </si>
  <si>
    <t>Kategorie IV. - roč. 2007 - 2006 žákyně B</t>
  </si>
  <si>
    <t>Bauerová Karin</t>
  </si>
  <si>
    <t>Kategorie V. - roč. 2005 - 2003 juniorky B</t>
  </si>
  <si>
    <t>Kategorie VI. - roč. 2002 a starší</t>
  </si>
  <si>
    <t>Kategorie VII. - roč. 2008 - žákyně C</t>
  </si>
  <si>
    <t>Kategorie VII. - roč. 2007 - 2006 žákyně C</t>
  </si>
  <si>
    <t>Klodnerová Karolína</t>
  </si>
  <si>
    <t>Holubcová Adéla</t>
  </si>
  <si>
    <t>Stejskalová Hana</t>
  </si>
  <si>
    <t>Pelantová Sofie</t>
  </si>
  <si>
    <t>Ivanovičová Karolína</t>
  </si>
  <si>
    <t>Kategorie VIII. - roč. 2005 - 2002  juniorky C</t>
  </si>
  <si>
    <t>Burešová Eliška</t>
  </si>
  <si>
    <t>Bělohubá Anabel</t>
  </si>
  <si>
    <t>Réblová Klára</t>
  </si>
  <si>
    <t>Burešová Anežka</t>
  </si>
  <si>
    <t>Středová Magdaléna</t>
  </si>
  <si>
    <t>Kamenská Nela</t>
  </si>
  <si>
    <t>Kudrnová Viktorie</t>
  </si>
  <si>
    <t>SG Předměřice</t>
  </si>
  <si>
    <t>Petráčková Dominika</t>
  </si>
  <si>
    <t>Sucká Eliška</t>
  </si>
  <si>
    <t>Semelková Denisa</t>
  </si>
  <si>
    <t>Semelková Nikola</t>
  </si>
  <si>
    <t>Korbelová Adéla</t>
  </si>
  <si>
    <t>Králová Anežka</t>
  </si>
  <si>
    <t>Vondrová Eliška</t>
  </si>
  <si>
    <t>Švarcová Nella</t>
  </si>
  <si>
    <t>Semelková Eliška</t>
  </si>
  <si>
    <t>Kopejsková Veronika</t>
  </si>
  <si>
    <t>Pučelíková Hana</t>
  </si>
  <si>
    <t>Opršalová Tereza</t>
  </si>
  <si>
    <t>Štyksová Kristýna</t>
  </si>
  <si>
    <t>Lavičková Valentýna</t>
  </si>
  <si>
    <t>Kubíková Andrea</t>
  </si>
  <si>
    <t>Felsenbergova Ema</t>
  </si>
  <si>
    <t>Sochová Monika</t>
  </si>
  <si>
    <t>Rychtrmocová Amálie</t>
  </si>
  <si>
    <t>Kaňková Inna</t>
  </si>
  <si>
    <t>Jirousková Karolína</t>
  </si>
  <si>
    <t>SG TJ Sokol HK</t>
  </si>
  <si>
    <t>Vyziblová Amélie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</si>
</sst>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  <numFmt numFmtId="170" formatCode="[$€-2]\ #\ ##,000_);[Red]\([$€-2]\ #\ ##,000\)"/>
    <numFmt numFmtId="171" formatCode="#,##0.000\ _K_č"/>
    <numFmt numFmtId="172" formatCode="[$€-2]\ #,##0.00_);[Red]\([$€-2]\ #,##0.00\)"/>
    <numFmt numFmtId="173" formatCode="[$-405]d\.\ mmmm\ yyyy"/>
    <numFmt numFmtId="174" formatCode="[$¥€-2]\ #\ ##,000_);[Red]\([$€-2]\ #\ ##,000\)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2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Arial"/>
      <family val="2"/>
    </font>
    <font>
      <sz val="12"/>
      <color rgb="FF000000"/>
      <name val="Times New Roman"/>
      <family val="1"/>
    </font>
    <font>
      <sz val="16"/>
      <color rgb="FF00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3" fillId="25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4" fillId="24" borderId="0" applyNumberFormat="0" applyBorder="0" applyAlignment="0" applyProtection="0"/>
    <xf numFmtId="0" fontId="4" fillId="31" borderId="0" applyNumberFormat="0" applyBorder="0" applyAlignment="0" applyProtection="0"/>
    <xf numFmtId="0" fontId="3" fillId="31" borderId="0" applyNumberFormat="0" applyBorder="0" applyAlignment="0" applyProtection="0"/>
    <xf numFmtId="0" fontId="5" fillId="32" borderId="0" applyNumberFormat="0" applyBorder="0" applyAlignment="0" applyProtection="0"/>
    <xf numFmtId="0" fontId="6" fillId="33" borderId="1" applyNumberFormat="0" applyAlignment="0" applyProtection="0"/>
    <xf numFmtId="0" fontId="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8" fillId="2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26" borderId="6" applyNumberFormat="0" applyAlignment="0" applyProtection="0"/>
    <xf numFmtId="0" fontId="43" fillId="37" borderId="0" applyNumberFormat="0" applyBorder="0" applyAlignment="0" applyProtection="0"/>
    <xf numFmtId="0" fontId="13" fillId="31" borderId="1" applyNumberFormat="0" applyAlignment="0" applyProtection="0"/>
    <xf numFmtId="0" fontId="44" fillId="38" borderId="7" applyNumberFormat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39" borderId="0" applyNumberFormat="0" applyBorder="0" applyAlignment="0" applyProtection="0"/>
    <xf numFmtId="0" fontId="49" fillId="40" borderId="0" applyNumberFormat="0" applyBorder="0" applyAlignment="0" applyProtection="0"/>
    <xf numFmtId="0" fontId="0" fillId="24" borderId="12" applyNumberFormat="0" applyFont="0" applyAlignment="0" applyProtection="0"/>
    <xf numFmtId="0" fontId="16" fillId="33" borderId="13" applyNumberFormat="0" applyAlignment="0" applyProtection="0"/>
    <xf numFmtId="0" fontId="2" fillId="0" borderId="0" applyNumberFormat="0" applyFill="0" applyBorder="0" applyAlignment="0" applyProtection="0"/>
    <xf numFmtId="0" fontId="0" fillId="41" borderId="14" applyNumberFormat="0" applyFont="0" applyAlignment="0" applyProtection="0"/>
    <xf numFmtId="9" fontId="0" fillId="0" borderId="0" applyFont="0" applyFill="0" applyBorder="0" applyAlignment="0" applyProtection="0"/>
    <xf numFmtId="0" fontId="50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51" fillId="42" borderId="0" applyNumberFormat="0" applyBorder="0" applyAlignment="0" applyProtection="0"/>
    <xf numFmtId="0" fontId="18" fillId="0" borderId="0" applyNumberFormat="0" applyFill="0" applyBorder="0" applyAlignment="0" applyProtection="0"/>
    <xf numFmtId="0" fontId="52" fillId="43" borderId="16" applyNumberFormat="0" applyAlignment="0" applyProtection="0"/>
    <xf numFmtId="0" fontId="53" fillId="44" borderId="16" applyNumberFormat="0" applyAlignment="0" applyProtection="0"/>
    <xf numFmtId="0" fontId="54" fillId="44" borderId="17" applyNumberFormat="0" applyAlignment="0" applyProtection="0"/>
    <xf numFmtId="0" fontId="55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9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5" fontId="2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5" fontId="20" fillId="0" borderId="0" xfId="0" applyNumberFormat="1" applyFont="1" applyAlignment="1">
      <alignment/>
    </xf>
    <xf numFmtId="0" fontId="24" fillId="0" borderId="0" xfId="0" applyFont="1" applyAlignment="1">
      <alignment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165" fontId="21" fillId="0" borderId="20" xfId="0" applyNumberFormat="1" applyFont="1" applyFill="1" applyBorder="1" applyAlignment="1">
      <alignment horizontal="center" vertical="center" wrapText="1"/>
    </xf>
    <xf numFmtId="165" fontId="21" fillId="0" borderId="21" xfId="0" applyNumberFormat="1" applyFont="1" applyFill="1" applyBorder="1" applyAlignment="1">
      <alignment horizontal="center" vertical="center" wrapText="1"/>
    </xf>
    <xf numFmtId="165" fontId="21" fillId="0" borderId="22" xfId="0" applyNumberFormat="1" applyFont="1" applyFill="1" applyBorder="1" applyAlignment="1">
      <alignment horizontal="center" vertical="center" wrapText="1"/>
    </xf>
    <xf numFmtId="165" fontId="21" fillId="0" borderId="23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1" fillId="51" borderId="24" xfId="0" applyFont="1" applyFill="1" applyBorder="1" applyAlignment="1">
      <alignment horizontal="center"/>
    </xf>
    <xf numFmtId="165" fontId="22" fillId="0" borderId="25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1" fillId="0" borderId="26" xfId="0" applyFont="1" applyFill="1" applyBorder="1" applyAlignment="1">
      <alignment horizontal="center"/>
    </xf>
    <xf numFmtId="0" fontId="56" fillId="51" borderId="27" xfId="0" applyFont="1" applyFill="1" applyBorder="1" applyAlignment="1">
      <alignment/>
    </xf>
    <xf numFmtId="0" fontId="56" fillId="51" borderId="28" xfId="0" applyFont="1" applyFill="1" applyBorder="1" applyAlignment="1">
      <alignment/>
    </xf>
    <xf numFmtId="0" fontId="21" fillId="51" borderId="29" xfId="0" applyFont="1" applyFill="1" applyBorder="1" applyAlignment="1">
      <alignment horizontal="center"/>
    </xf>
    <xf numFmtId="0" fontId="56" fillId="51" borderId="30" xfId="0" applyFont="1" applyFill="1" applyBorder="1" applyAlignment="1">
      <alignment/>
    </xf>
    <xf numFmtId="165" fontId="22" fillId="0" borderId="20" xfId="0" applyNumberFormat="1" applyFont="1" applyFill="1" applyBorder="1" applyAlignment="1">
      <alignment/>
    </xf>
    <xf numFmtId="0" fontId="21" fillId="0" borderId="0" xfId="0" applyFont="1" applyAlignment="1">
      <alignment horizontal="center"/>
    </xf>
    <xf numFmtId="0" fontId="21" fillId="0" borderId="24" xfId="0" applyFont="1" applyFill="1" applyBorder="1" applyAlignment="1">
      <alignment horizontal="center"/>
    </xf>
    <xf numFmtId="165" fontId="21" fillId="0" borderId="31" xfId="0" applyNumberFormat="1" applyFont="1" applyFill="1" applyBorder="1" applyAlignment="1">
      <alignment/>
    </xf>
    <xf numFmtId="0" fontId="26" fillId="51" borderId="27" xfId="0" applyFont="1" applyFill="1" applyBorder="1" applyAlignment="1">
      <alignment/>
    </xf>
    <xf numFmtId="0" fontId="21" fillId="0" borderId="29" xfId="0" applyFont="1" applyFill="1" applyBorder="1" applyAlignment="1">
      <alignment horizontal="center"/>
    </xf>
    <xf numFmtId="165" fontId="21" fillId="0" borderId="32" xfId="0" applyNumberFormat="1" applyFont="1" applyFill="1" applyBorder="1" applyAlignment="1">
      <alignment/>
    </xf>
    <xf numFmtId="0" fontId="26" fillId="51" borderId="33" xfId="0" applyFont="1" applyFill="1" applyBorder="1" applyAlignment="1">
      <alignment/>
    </xf>
    <xf numFmtId="0" fontId="21" fillId="0" borderId="34" xfId="0" applyFont="1" applyFill="1" applyBorder="1" applyAlignment="1">
      <alignment horizontal="center"/>
    </xf>
    <xf numFmtId="165" fontId="21" fillId="0" borderId="35" xfId="0" applyNumberFormat="1" applyFont="1" applyFill="1" applyBorder="1" applyAlignment="1">
      <alignment/>
    </xf>
    <xf numFmtId="0" fontId="22" fillId="0" borderId="0" xfId="0" applyFont="1" applyAlignment="1">
      <alignment/>
    </xf>
    <xf numFmtId="165" fontId="21" fillId="0" borderId="36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56" fillId="51" borderId="32" xfId="0" applyFont="1" applyFill="1" applyBorder="1" applyAlignment="1">
      <alignment/>
    </xf>
    <xf numFmtId="0" fontId="22" fillId="0" borderId="0" xfId="0" applyFont="1" applyFill="1" applyAlignment="1">
      <alignment/>
    </xf>
    <xf numFmtId="0" fontId="56" fillId="51" borderId="35" xfId="0" applyFont="1" applyFill="1" applyBorder="1" applyAlignment="1">
      <alignment/>
    </xf>
    <xf numFmtId="0" fontId="21" fillId="0" borderId="0" xfId="0" applyFont="1" applyBorder="1" applyAlignment="1">
      <alignment horizontal="right"/>
    </xf>
    <xf numFmtId="165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21" fillId="0" borderId="3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165" fontId="21" fillId="0" borderId="40" xfId="0" applyNumberFormat="1" applyFont="1" applyFill="1" applyBorder="1" applyAlignment="1">
      <alignment/>
    </xf>
    <xf numFmtId="165" fontId="21" fillId="0" borderId="41" xfId="0" applyNumberFormat="1" applyFont="1" applyFill="1" applyBorder="1" applyAlignment="1">
      <alignment/>
    </xf>
    <xf numFmtId="165" fontId="21" fillId="0" borderId="42" xfId="0" applyNumberFormat="1" applyFont="1" applyFill="1" applyBorder="1" applyAlignment="1">
      <alignment/>
    </xf>
    <xf numFmtId="165" fontId="21" fillId="0" borderId="0" xfId="0" applyNumberFormat="1" applyFont="1" applyAlignment="1">
      <alignment/>
    </xf>
    <xf numFmtId="165" fontId="21" fillId="0" borderId="0" xfId="0" applyNumberFormat="1" applyFont="1" applyBorder="1" applyAlignment="1">
      <alignment horizontal="right"/>
    </xf>
    <xf numFmtId="165" fontId="21" fillId="0" borderId="43" xfId="0" applyNumberFormat="1" applyFont="1" applyFill="1" applyBorder="1" applyAlignment="1">
      <alignment/>
    </xf>
    <xf numFmtId="165" fontId="21" fillId="0" borderId="27" xfId="0" applyNumberFormat="1" applyFont="1" applyFill="1" applyBorder="1" applyAlignment="1">
      <alignment/>
    </xf>
    <xf numFmtId="165" fontId="21" fillId="0" borderId="33" xfId="0" applyNumberFormat="1" applyFont="1" applyFill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44" xfId="0" applyFont="1" applyFill="1" applyBorder="1" applyAlignment="1">
      <alignment horizontal="center"/>
    </xf>
    <xf numFmtId="165" fontId="22" fillId="0" borderId="28" xfId="0" applyNumberFormat="1" applyFont="1" applyFill="1" applyBorder="1" applyAlignment="1">
      <alignment/>
    </xf>
    <xf numFmtId="0" fontId="21" fillId="0" borderId="32" xfId="0" applyFont="1" applyBorder="1" applyAlignment="1">
      <alignment/>
    </xf>
    <xf numFmtId="0" fontId="21" fillId="0" borderId="45" xfId="0" applyFont="1" applyFill="1" applyBorder="1" applyAlignment="1">
      <alignment horizontal="center"/>
    </xf>
    <xf numFmtId="165" fontId="21" fillId="0" borderId="46" xfId="0" applyNumberFormat="1" applyFont="1" applyFill="1" applyBorder="1" applyAlignment="1">
      <alignment/>
    </xf>
    <xf numFmtId="165" fontId="22" fillId="0" borderId="47" xfId="0" applyNumberFormat="1" applyFont="1" applyFill="1" applyBorder="1" applyAlignment="1">
      <alignment/>
    </xf>
    <xf numFmtId="165" fontId="21" fillId="0" borderId="48" xfId="0" applyNumberFormat="1" applyFont="1" applyFill="1" applyBorder="1" applyAlignment="1">
      <alignment/>
    </xf>
    <xf numFmtId="0" fontId="56" fillId="51" borderId="49" xfId="0" applyFont="1" applyFill="1" applyBorder="1" applyAlignment="1">
      <alignment/>
    </xf>
    <xf numFmtId="0" fontId="21" fillId="0" borderId="49" xfId="0" applyFont="1" applyBorder="1" applyAlignment="1">
      <alignment/>
    </xf>
    <xf numFmtId="0" fontId="21" fillId="0" borderId="50" xfId="0" applyFont="1" applyFill="1" applyBorder="1" applyAlignment="1">
      <alignment horizontal="center" vertical="center" wrapText="1"/>
    </xf>
    <xf numFmtId="0" fontId="21" fillId="0" borderId="32" xfId="0" applyFont="1" applyBorder="1" applyAlignment="1">
      <alignment/>
    </xf>
    <xf numFmtId="0" fontId="21" fillId="0" borderId="49" xfId="0" applyFont="1" applyBorder="1" applyAlignment="1">
      <alignment/>
    </xf>
    <xf numFmtId="165" fontId="21" fillId="0" borderId="41" xfId="0" applyNumberFormat="1" applyFont="1" applyBorder="1" applyAlignment="1">
      <alignment/>
    </xf>
    <xf numFmtId="165" fontId="21" fillId="0" borderId="27" xfId="0" applyNumberFormat="1" applyFont="1" applyBorder="1" applyAlignment="1">
      <alignment/>
    </xf>
    <xf numFmtId="0" fontId="21" fillId="0" borderId="51" xfId="0" applyFont="1" applyFill="1" applyBorder="1" applyAlignment="1">
      <alignment horizontal="center" vertical="center" wrapText="1"/>
    </xf>
    <xf numFmtId="165" fontId="21" fillId="0" borderId="52" xfId="0" applyNumberFormat="1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165" fontId="21" fillId="0" borderId="56" xfId="0" applyNumberFormat="1" applyFont="1" applyFill="1" applyBorder="1" applyAlignment="1">
      <alignment horizontal="center" vertical="center" wrapText="1"/>
    </xf>
    <xf numFmtId="165" fontId="22" fillId="0" borderId="56" xfId="0" applyNumberFormat="1" applyFont="1" applyFill="1" applyBorder="1" applyAlignment="1">
      <alignment/>
    </xf>
    <xf numFmtId="165" fontId="22" fillId="0" borderId="47" xfId="0" applyNumberFormat="1" applyFont="1" applyFill="1" applyBorder="1" applyAlignment="1">
      <alignment vertical="center" wrapText="1"/>
    </xf>
    <xf numFmtId="165" fontId="21" fillId="0" borderId="27" xfId="0" applyNumberFormat="1" applyFont="1" applyFill="1" applyBorder="1" applyAlignment="1">
      <alignment/>
    </xf>
    <xf numFmtId="165" fontId="22" fillId="0" borderId="28" xfId="0" applyNumberFormat="1" applyFont="1" applyFill="1" applyBorder="1" applyAlignment="1">
      <alignment vertical="center" wrapText="1"/>
    </xf>
    <xf numFmtId="165" fontId="22" fillId="0" borderId="57" xfId="0" applyNumberFormat="1" applyFont="1" applyFill="1" applyBorder="1" applyAlignment="1">
      <alignment vertical="center" wrapText="1"/>
    </xf>
    <xf numFmtId="165" fontId="21" fillId="51" borderId="27" xfId="0" applyNumberFormat="1" applyFont="1" applyFill="1" applyBorder="1" applyAlignment="1">
      <alignment/>
    </xf>
    <xf numFmtId="165" fontId="21" fillId="51" borderId="41" xfId="0" applyNumberFormat="1" applyFont="1" applyFill="1" applyBorder="1" applyAlignment="1">
      <alignment/>
    </xf>
    <xf numFmtId="165" fontId="21" fillId="51" borderId="32" xfId="0" applyNumberFormat="1" applyFont="1" applyFill="1" applyBorder="1" applyAlignment="1">
      <alignment/>
    </xf>
    <xf numFmtId="165" fontId="22" fillId="0" borderId="49" xfId="0" applyNumberFormat="1" applyFont="1" applyFill="1" applyBorder="1" applyAlignment="1">
      <alignment vertical="center" wrapText="1"/>
    </xf>
    <xf numFmtId="0" fontId="56" fillId="51" borderId="58" xfId="0" applyFont="1" applyFill="1" applyBorder="1" applyAlignment="1">
      <alignment/>
    </xf>
    <xf numFmtId="165" fontId="21" fillId="51" borderId="36" xfId="0" applyNumberFormat="1" applyFont="1" applyFill="1" applyBorder="1" applyAlignment="1">
      <alignment/>
    </xf>
    <xf numFmtId="165" fontId="21" fillId="51" borderId="46" xfId="0" applyNumberFormat="1" applyFont="1" applyFill="1" applyBorder="1" applyAlignment="1">
      <alignment/>
    </xf>
    <xf numFmtId="165" fontId="21" fillId="51" borderId="48" xfId="0" applyNumberFormat="1" applyFont="1" applyFill="1" applyBorder="1" applyAlignment="1">
      <alignment/>
    </xf>
    <xf numFmtId="0" fontId="21" fillId="0" borderId="34" xfId="0" applyFont="1" applyBorder="1" applyAlignment="1">
      <alignment horizontal="center"/>
    </xf>
    <xf numFmtId="165" fontId="21" fillId="0" borderId="41" xfId="0" applyNumberFormat="1" applyFont="1" applyFill="1" applyBorder="1" applyAlignment="1">
      <alignment vertical="center" wrapText="1"/>
    </xf>
    <xf numFmtId="0" fontId="21" fillId="51" borderId="49" xfId="0" applyFont="1" applyFill="1" applyBorder="1" applyAlignment="1">
      <alignment/>
    </xf>
    <xf numFmtId="0" fontId="27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58" fillId="0" borderId="0" xfId="0" applyFont="1" applyAlignment="1">
      <alignment vertical="center"/>
    </xf>
    <xf numFmtId="0" fontId="26" fillId="51" borderId="48" xfId="0" applyFont="1" applyFill="1" applyBorder="1" applyAlignment="1">
      <alignment/>
    </xf>
    <xf numFmtId="0" fontId="56" fillId="51" borderId="47" xfId="0" applyFont="1" applyFill="1" applyBorder="1" applyAlignment="1">
      <alignment/>
    </xf>
    <xf numFmtId="0" fontId="56" fillId="51" borderId="31" xfId="0" applyFont="1" applyFill="1" applyBorder="1" applyAlignment="1">
      <alignment/>
    </xf>
    <xf numFmtId="0" fontId="56" fillId="51" borderId="59" xfId="0" applyFont="1" applyFill="1" applyBorder="1" applyAlignment="1">
      <alignment/>
    </xf>
    <xf numFmtId="0" fontId="21" fillId="0" borderId="60" xfId="0" applyFont="1" applyBorder="1" applyAlignment="1">
      <alignment horizontal="center"/>
    </xf>
    <xf numFmtId="165" fontId="21" fillId="0" borderId="61" xfId="0" applyNumberFormat="1" applyFont="1" applyFill="1" applyBorder="1" applyAlignment="1">
      <alignment/>
    </xf>
    <xf numFmtId="165" fontId="21" fillId="0" borderId="62" xfId="0" applyNumberFormat="1" applyFont="1" applyFill="1" applyBorder="1" applyAlignment="1">
      <alignment/>
    </xf>
    <xf numFmtId="165" fontId="21" fillId="0" borderId="63" xfId="0" applyNumberFormat="1" applyFont="1" applyFill="1" applyBorder="1" applyAlignment="1">
      <alignment/>
    </xf>
    <xf numFmtId="0" fontId="21" fillId="0" borderId="27" xfId="0" applyFont="1" applyBorder="1" applyAlignment="1">
      <alignment/>
    </xf>
    <xf numFmtId="0" fontId="21" fillId="51" borderId="34" xfId="0" applyFont="1" applyFill="1" applyBorder="1" applyAlignment="1">
      <alignment horizontal="center"/>
    </xf>
    <xf numFmtId="165" fontId="21" fillId="0" borderId="32" xfId="0" applyNumberFormat="1" applyFont="1" applyFill="1" applyBorder="1" applyAlignment="1">
      <alignment vertical="center" wrapText="1"/>
    </xf>
    <xf numFmtId="0" fontId="26" fillId="51" borderId="32" xfId="0" applyFont="1" applyFill="1" applyBorder="1" applyAlignment="1">
      <alignment/>
    </xf>
    <xf numFmtId="0" fontId="21" fillId="51" borderId="58" xfId="0" applyFont="1" applyFill="1" applyBorder="1" applyAlignment="1">
      <alignment/>
    </xf>
    <xf numFmtId="0" fontId="26" fillId="51" borderId="63" xfId="0" applyFont="1" applyFill="1" applyBorder="1" applyAlignment="1">
      <alignment/>
    </xf>
    <xf numFmtId="0" fontId="21" fillId="0" borderId="38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6" fillId="51" borderId="29" xfId="0" applyFont="1" applyFill="1" applyBorder="1" applyAlignment="1">
      <alignment horizontal="center"/>
    </xf>
    <xf numFmtId="0" fontId="56" fillId="51" borderId="34" xfId="0" applyFont="1" applyFill="1" applyBorder="1" applyAlignment="1">
      <alignment horizontal="center"/>
    </xf>
    <xf numFmtId="0" fontId="56" fillId="51" borderId="44" xfId="0" applyFont="1" applyFill="1" applyBorder="1" applyAlignment="1">
      <alignment horizontal="center"/>
    </xf>
    <xf numFmtId="0" fontId="21" fillId="51" borderId="29" xfId="0" applyFont="1" applyFill="1" applyBorder="1" applyAlignment="1">
      <alignment horizontal="center"/>
    </xf>
    <xf numFmtId="0" fontId="21" fillId="51" borderId="24" xfId="0" applyFont="1" applyFill="1" applyBorder="1" applyAlignment="1">
      <alignment horizontal="center"/>
    </xf>
    <xf numFmtId="0" fontId="21" fillId="51" borderId="34" xfId="0" applyFont="1" applyFill="1" applyBorder="1" applyAlignment="1">
      <alignment horizontal="center"/>
    </xf>
    <xf numFmtId="0" fontId="21" fillId="51" borderId="6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52" borderId="0" xfId="0" applyFill="1" applyBorder="1" applyAlignment="1">
      <alignment horizontal="left"/>
    </xf>
    <xf numFmtId="0" fontId="0" fillId="52" borderId="0" xfId="0" applyFill="1" applyAlignment="1">
      <alignment/>
    </xf>
    <xf numFmtId="0" fontId="21" fillId="0" borderId="64" xfId="0" applyFont="1" applyFill="1" applyBorder="1" applyAlignment="1">
      <alignment horizontal="center"/>
    </xf>
    <xf numFmtId="0" fontId="21" fillId="0" borderId="65" xfId="0" applyFont="1" applyFill="1" applyBorder="1" applyAlignment="1">
      <alignment horizontal="center"/>
    </xf>
    <xf numFmtId="0" fontId="21" fillId="51" borderId="57" xfId="0" applyFont="1" applyFill="1" applyBorder="1" applyAlignment="1">
      <alignment/>
    </xf>
    <xf numFmtId="165" fontId="21" fillId="0" borderId="32" xfId="0" applyNumberFormat="1" applyFont="1" applyFill="1" applyBorder="1" applyAlignment="1">
      <alignment/>
    </xf>
    <xf numFmtId="165" fontId="21" fillId="0" borderId="41" xfId="0" applyNumberFormat="1" applyFont="1" applyFill="1" applyBorder="1" applyAlignment="1">
      <alignment/>
    </xf>
    <xf numFmtId="0" fontId="21" fillId="0" borderId="24" xfId="0" applyFont="1" applyBorder="1" applyAlignment="1">
      <alignment horizontal="center"/>
    </xf>
    <xf numFmtId="0" fontId="21" fillId="0" borderId="48" xfId="0" applyFont="1" applyBorder="1" applyAlignment="1">
      <alignment/>
    </xf>
    <xf numFmtId="0" fontId="21" fillId="0" borderId="63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58" xfId="0" applyFont="1" applyBorder="1" applyAlignment="1">
      <alignment/>
    </xf>
    <xf numFmtId="0" fontId="21" fillId="0" borderId="32" xfId="0" applyFont="1" applyFill="1" applyBorder="1" applyAlignment="1">
      <alignment/>
    </xf>
    <xf numFmtId="0" fontId="56" fillId="51" borderId="66" xfId="0" applyFont="1" applyFill="1" applyBorder="1" applyAlignment="1">
      <alignment/>
    </xf>
    <xf numFmtId="0" fontId="21" fillId="0" borderId="66" xfId="0" applyFont="1" applyBorder="1" applyAlignment="1">
      <alignment/>
    </xf>
    <xf numFmtId="0" fontId="56" fillId="51" borderId="67" xfId="0" applyFont="1" applyFill="1" applyBorder="1" applyAlignment="1">
      <alignment/>
    </xf>
    <xf numFmtId="0" fontId="21" fillId="0" borderId="66" xfId="0" applyFont="1" applyBorder="1" applyAlignment="1">
      <alignment/>
    </xf>
    <xf numFmtId="0" fontId="21" fillId="0" borderId="27" xfId="0" applyFont="1" applyBorder="1" applyAlignment="1">
      <alignment/>
    </xf>
    <xf numFmtId="165" fontId="22" fillId="0" borderId="68" xfId="0" applyNumberFormat="1" applyFont="1" applyFill="1" applyBorder="1" applyAlignment="1">
      <alignment/>
    </xf>
    <xf numFmtId="165" fontId="22" fillId="0" borderId="29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/>
    </xf>
    <xf numFmtId="165" fontId="22" fillId="0" borderId="24" xfId="0" applyNumberFormat="1" applyFont="1" applyFill="1" applyBorder="1" applyAlignment="1">
      <alignment/>
    </xf>
    <xf numFmtId="165" fontId="22" fillId="0" borderId="24" xfId="0" applyNumberFormat="1" applyFont="1" applyFill="1" applyBorder="1" applyAlignment="1">
      <alignment horizontal="right" vertical="center" wrapText="1"/>
    </xf>
    <xf numFmtId="165" fontId="22" fillId="0" borderId="29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165" fontId="22" fillId="0" borderId="24" xfId="0" applyNumberFormat="1" applyFont="1" applyFill="1" applyBorder="1" applyAlignment="1">
      <alignment/>
    </xf>
    <xf numFmtId="165" fontId="22" fillId="0" borderId="44" xfId="0" applyNumberFormat="1" applyFont="1" applyFill="1" applyBorder="1" applyAlignment="1">
      <alignment/>
    </xf>
    <xf numFmtId="165" fontId="22" fillId="0" borderId="6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1" fillId="0" borderId="24" xfId="0" applyFont="1" applyBorder="1" applyAlignment="1">
      <alignment horizontal="center"/>
    </xf>
    <xf numFmtId="165" fontId="21" fillId="0" borderId="36" xfId="0" applyNumberFormat="1" applyFont="1" applyFill="1" applyBorder="1" applyAlignment="1">
      <alignment vertical="center" wrapText="1"/>
    </xf>
    <xf numFmtId="165" fontId="21" fillId="0" borderId="46" xfId="0" applyNumberFormat="1" applyFont="1" applyFill="1" applyBorder="1" applyAlignment="1">
      <alignment vertical="center" wrapText="1"/>
    </xf>
    <xf numFmtId="165" fontId="22" fillId="0" borderId="28" xfId="0" applyNumberFormat="1" applyFont="1" applyFill="1" applyBorder="1" applyAlignment="1">
      <alignment/>
    </xf>
    <xf numFmtId="165" fontId="22" fillId="0" borderId="24" xfId="0" applyNumberFormat="1" applyFont="1" applyFill="1" applyBorder="1" applyAlignment="1">
      <alignment/>
    </xf>
    <xf numFmtId="165" fontId="22" fillId="0" borderId="29" xfId="0" applyNumberFormat="1" applyFont="1" applyFill="1" applyBorder="1" applyAlignment="1">
      <alignment/>
    </xf>
    <xf numFmtId="0" fontId="21" fillId="0" borderId="60" xfId="0" applyFont="1" applyFill="1" applyBorder="1" applyAlignment="1">
      <alignment horizontal="center"/>
    </xf>
    <xf numFmtId="0" fontId="56" fillId="51" borderId="69" xfId="0" applyFont="1" applyFill="1" applyBorder="1" applyAlignment="1">
      <alignment/>
    </xf>
    <xf numFmtId="0" fontId="56" fillId="51" borderId="60" xfId="0" applyFont="1" applyFill="1" applyBorder="1" applyAlignment="1">
      <alignment horizontal="center"/>
    </xf>
    <xf numFmtId="0" fontId="21" fillId="0" borderId="70" xfId="0" applyFont="1" applyBorder="1" applyAlignment="1">
      <alignment/>
    </xf>
    <xf numFmtId="0" fontId="26" fillId="51" borderId="43" xfId="0" applyFont="1" applyFill="1" applyBorder="1" applyAlignment="1">
      <alignment/>
    </xf>
    <xf numFmtId="0" fontId="21" fillId="51" borderId="44" xfId="0" applyFont="1" applyFill="1" applyBorder="1" applyAlignment="1">
      <alignment horizontal="center"/>
    </xf>
    <xf numFmtId="0" fontId="21" fillId="51" borderId="28" xfId="0" applyFont="1" applyFill="1" applyBorder="1" applyAlignment="1">
      <alignment/>
    </xf>
    <xf numFmtId="0" fontId="21" fillId="0" borderId="28" xfId="0" applyFont="1" applyBorder="1" applyAlignment="1">
      <alignment/>
    </xf>
    <xf numFmtId="0" fontId="21" fillId="0" borderId="71" xfId="0" applyFont="1" applyBorder="1" applyAlignment="1">
      <alignment/>
    </xf>
    <xf numFmtId="0" fontId="21" fillId="0" borderId="30" xfId="0" applyFont="1" applyBorder="1" applyAlignment="1">
      <alignment/>
    </xf>
    <xf numFmtId="165" fontId="21" fillId="51" borderId="33" xfId="0" applyNumberFormat="1" applyFont="1" applyFill="1" applyBorder="1" applyAlignment="1">
      <alignment/>
    </xf>
    <xf numFmtId="165" fontId="21" fillId="51" borderId="42" xfId="0" applyNumberFormat="1" applyFont="1" applyFill="1" applyBorder="1" applyAlignment="1">
      <alignment/>
    </xf>
    <xf numFmtId="165" fontId="22" fillId="0" borderId="30" xfId="0" applyNumberFormat="1" applyFont="1" applyFill="1" applyBorder="1" applyAlignment="1">
      <alignment vertical="center" wrapText="1"/>
    </xf>
    <xf numFmtId="165" fontId="21" fillId="51" borderId="35" xfId="0" applyNumberFormat="1" applyFont="1" applyFill="1" applyBorder="1" applyAlignment="1">
      <alignment/>
    </xf>
    <xf numFmtId="165" fontId="22" fillId="0" borderId="58" xfId="0" applyNumberFormat="1" applyFont="1" applyFill="1" applyBorder="1" applyAlignment="1">
      <alignment vertical="center" wrapText="1"/>
    </xf>
    <xf numFmtId="165" fontId="22" fillId="0" borderId="34" xfId="0" applyNumberFormat="1" applyFont="1" applyFill="1" applyBorder="1" applyAlignment="1">
      <alignment horizontal="right" vertical="center" wrapText="1"/>
    </xf>
    <xf numFmtId="165" fontId="21" fillId="0" borderId="33" xfId="0" applyNumberFormat="1" applyFont="1" applyBorder="1" applyAlignment="1">
      <alignment/>
    </xf>
    <xf numFmtId="165" fontId="21" fillId="0" borderId="42" xfId="0" applyNumberFormat="1" applyFont="1" applyBorder="1" applyAlignment="1">
      <alignment/>
    </xf>
    <xf numFmtId="165" fontId="22" fillId="0" borderId="30" xfId="0" applyNumberFormat="1" applyFont="1" applyFill="1" applyBorder="1" applyAlignment="1">
      <alignment/>
    </xf>
    <xf numFmtId="165" fontId="22" fillId="0" borderId="34" xfId="0" applyNumberFormat="1" applyFont="1" applyFill="1" applyBorder="1" applyAlignment="1">
      <alignment/>
    </xf>
    <xf numFmtId="0" fontId="56" fillId="51" borderId="70" xfId="0" applyFont="1" applyFill="1" applyBorder="1" applyAlignment="1">
      <alignment/>
    </xf>
    <xf numFmtId="0" fontId="56" fillId="51" borderId="72" xfId="0" applyFont="1" applyFill="1" applyBorder="1" applyAlignment="1">
      <alignment/>
    </xf>
    <xf numFmtId="0" fontId="56" fillId="51" borderId="48" xfId="0" applyFont="1" applyFill="1" applyBorder="1" applyAlignment="1">
      <alignment/>
    </xf>
    <xf numFmtId="0" fontId="56" fillId="51" borderId="63" xfId="0" applyFont="1" applyFill="1" applyBorder="1" applyAlignment="1">
      <alignment/>
    </xf>
    <xf numFmtId="0" fontId="56" fillId="51" borderId="33" xfId="0" applyFont="1" applyFill="1" applyBorder="1" applyAlignment="1">
      <alignment/>
    </xf>
    <xf numFmtId="0" fontId="21" fillId="51" borderId="47" xfId="0" applyFont="1" applyFill="1" applyBorder="1" applyAlignment="1">
      <alignment/>
    </xf>
    <xf numFmtId="0" fontId="21" fillId="0" borderId="27" xfId="0" applyFont="1" applyFill="1" applyBorder="1" applyAlignment="1">
      <alignment/>
    </xf>
    <xf numFmtId="0" fontId="21" fillId="0" borderId="28" xfId="0" applyFont="1" applyBorder="1" applyAlignment="1">
      <alignment/>
    </xf>
    <xf numFmtId="165" fontId="21" fillId="0" borderId="48" xfId="0" applyNumberFormat="1" applyFont="1" applyFill="1" applyBorder="1" applyAlignment="1">
      <alignment vertical="center" wrapText="1"/>
    </xf>
    <xf numFmtId="165" fontId="21" fillId="0" borderId="27" xfId="0" applyNumberFormat="1" applyFont="1" applyFill="1" applyBorder="1" applyAlignment="1">
      <alignment vertical="center" wrapText="1"/>
    </xf>
    <xf numFmtId="165" fontId="21" fillId="0" borderId="33" xfId="0" applyNumberFormat="1" applyFont="1" applyFill="1" applyBorder="1" applyAlignment="1">
      <alignment vertical="center" wrapText="1"/>
    </xf>
    <xf numFmtId="165" fontId="21" fillId="0" borderId="42" xfId="0" applyNumberFormat="1" applyFont="1" applyFill="1" applyBorder="1" applyAlignment="1">
      <alignment vertical="center" wrapText="1"/>
    </xf>
    <xf numFmtId="165" fontId="21" fillId="0" borderId="35" xfId="0" applyNumberFormat="1" applyFont="1" applyFill="1" applyBorder="1" applyAlignment="1">
      <alignment vertical="center" wrapText="1"/>
    </xf>
    <xf numFmtId="165" fontId="22" fillId="0" borderId="34" xfId="0" applyNumberFormat="1" applyFont="1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21" fillId="0" borderId="41" xfId="0" applyFont="1" applyFill="1" applyBorder="1" applyAlignment="1">
      <alignment/>
    </xf>
    <xf numFmtId="0" fontId="21" fillId="51" borderId="41" xfId="0" applyFont="1" applyFill="1" applyBorder="1" applyAlignment="1">
      <alignment/>
    </xf>
    <xf numFmtId="0" fontId="21" fillId="0" borderId="41" xfId="0" applyFont="1" applyBorder="1" applyAlignment="1">
      <alignment horizontal="center"/>
    </xf>
    <xf numFmtId="0" fontId="26" fillId="51" borderId="41" xfId="0" applyFont="1" applyFill="1" applyBorder="1" applyAlignment="1">
      <alignment/>
    </xf>
    <xf numFmtId="0" fontId="56" fillId="51" borderId="41" xfId="0" applyFont="1" applyFill="1" applyBorder="1" applyAlignment="1">
      <alignment/>
    </xf>
    <xf numFmtId="0" fontId="21" fillId="0" borderId="41" xfId="0" applyFont="1" applyFill="1" applyBorder="1" applyAlignment="1">
      <alignment horizontal="center"/>
    </xf>
    <xf numFmtId="0" fontId="21" fillId="0" borderId="41" xfId="0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1" xfId="0" applyFont="1" applyBorder="1" applyAlignment="1">
      <alignment/>
    </xf>
    <xf numFmtId="0" fontId="21" fillId="51" borderId="41" xfId="0" applyFont="1" applyFill="1" applyBorder="1" applyAlignment="1">
      <alignment horizontal="center"/>
    </xf>
    <xf numFmtId="0" fontId="56" fillId="51" borderId="41" xfId="0" applyFont="1" applyFill="1" applyBorder="1" applyAlignment="1">
      <alignment horizontal="center"/>
    </xf>
    <xf numFmtId="0" fontId="21" fillId="0" borderId="41" xfId="0" applyFont="1" applyBorder="1" applyAlignment="1">
      <alignment/>
    </xf>
    <xf numFmtId="0" fontId="21" fillId="51" borderId="41" xfId="0" applyFont="1" applyFill="1" applyBorder="1" applyAlignment="1">
      <alignment horizontal="center"/>
    </xf>
    <xf numFmtId="0" fontId="21" fillId="0" borderId="41" xfId="0" applyFont="1" applyFill="1" applyBorder="1" applyAlignment="1">
      <alignment/>
    </xf>
    <xf numFmtId="0" fontId="21" fillId="0" borderId="31" xfId="0" applyFont="1" applyBorder="1" applyAlignment="1">
      <alignment/>
    </xf>
    <xf numFmtId="0" fontId="21" fillId="0" borderId="27" xfId="0" applyFont="1" applyFill="1" applyBorder="1" applyAlignment="1">
      <alignment/>
    </xf>
    <xf numFmtId="0" fontId="21" fillId="0" borderId="25" xfId="0" applyFont="1" applyBorder="1" applyAlignment="1">
      <alignment/>
    </xf>
    <xf numFmtId="0" fontId="56" fillId="51" borderId="73" xfId="0" applyFont="1" applyFill="1" applyBorder="1" applyAlignment="1">
      <alignment/>
    </xf>
    <xf numFmtId="165" fontId="21" fillId="0" borderId="27" xfId="0" applyNumberFormat="1" applyFont="1" applyBorder="1" applyAlignment="1">
      <alignment/>
    </xf>
    <xf numFmtId="165" fontId="21" fillId="0" borderId="48" xfId="0" applyNumberFormat="1" applyFont="1" applyBorder="1" applyAlignment="1">
      <alignment/>
    </xf>
    <xf numFmtId="165" fontId="21" fillId="0" borderId="41" xfId="0" applyNumberFormat="1" applyFont="1" applyBorder="1" applyAlignment="1">
      <alignment/>
    </xf>
    <xf numFmtId="165" fontId="21" fillId="0" borderId="46" xfId="0" applyNumberFormat="1" applyFont="1" applyBorder="1" applyAlignment="1">
      <alignment/>
    </xf>
    <xf numFmtId="0" fontId="21" fillId="0" borderId="67" xfId="0" applyFont="1" applyBorder="1" applyAlignment="1">
      <alignment/>
    </xf>
    <xf numFmtId="0" fontId="21" fillId="0" borderId="74" xfId="0" applyFont="1" applyBorder="1" applyAlignment="1">
      <alignment/>
    </xf>
    <xf numFmtId="0" fontId="21" fillId="0" borderId="33" xfId="0" applyFont="1" applyFill="1" applyBorder="1" applyAlignment="1">
      <alignment/>
    </xf>
    <xf numFmtId="0" fontId="21" fillId="0" borderId="34" xfId="0" applyFont="1" applyBorder="1" applyAlignment="1">
      <alignment horizontal="center"/>
    </xf>
    <xf numFmtId="0" fontId="21" fillId="0" borderId="48" xfId="0" applyFont="1" applyBorder="1" applyAlignment="1">
      <alignment/>
    </xf>
    <xf numFmtId="0" fontId="21" fillId="0" borderId="30" xfId="0" applyFont="1" applyBorder="1" applyAlignment="1">
      <alignment/>
    </xf>
    <xf numFmtId="165" fontId="21" fillId="0" borderId="75" xfId="0" applyNumberFormat="1" applyFont="1" applyFill="1" applyBorder="1" applyAlignment="1">
      <alignment horizontal="center" vertical="center" wrapText="1"/>
    </xf>
    <xf numFmtId="165" fontId="21" fillId="51" borderId="50" xfId="0" applyNumberFormat="1" applyFont="1" applyFill="1" applyBorder="1" applyAlignment="1">
      <alignment/>
    </xf>
    <xf numFmtId="165" fontId="21" fillId="51" borderId="19" xfId="0" applyNumberFormat="1" applyFont="1" applyFill="1" applyBorder="1" applyAlignment="1">
      <alignment/>
    </xf>
    <xf numFmtId="0" fontId="21" fillId="0" borderId="57" xfId="0" applyFont="1" applyBorder="1" applyAlignment="1">
      <alignment/>
    </xf>
    <xf numFmtId="165" fontId="22" fillId="0" borderId="22" xfId="0" applyNumberFormat="1" applyFont="1" applyFill="1" applyBorder="1" applyAlignment="1">
      <alignment vertical="center" wrapText="1"/>
    </xf>
    <xf numFmtId="165" fontId="22" fillId="0" borderId="64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165" fontId="22" fillId="0" borderId="68" xfId="0" applyNumberFormat="1" applyFont="1" applyFill="1" applyBorder="1" applyAlignment="1">
      <alignment horizontal="center" vertical="center" wrapText="1"/>
    </xf>
    <xf numFmtId="165" fontId="22" fillId="0" borderId="64" xfId="0" applyNumberFormat="1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left"/>
    </xf>
    <xf numFmtId="0" fontId="21" fillId="0" borderId="34" xfId="0" applyFont="1" applyBorder="1" applyAlignment="1">
      <alignment/>
    </xf>
    <xf numFmtId="0" fontId="21" fillId="0" borderId="48" xfId="0" applyFont="1" applyFill="1" applyBorder="1" applyAlignment="1">
      <alignment horizontal="center" vertical="center" wrapText="1"/>
    </xf>
    <xf numFmtId="0" fontId="21" fillId="0" borderId="33" xfId="0" applyFont="1" applyBorder="1" applyAlignment="1">
      <alignment/>
    </xf>
    <xf numFmtId="0" fontId="21" fillId="0" borderId="76" xfId="0" applyFont="1" applyFill="1" applyBorder="1" applyAlignment="1">
      <alignment horizontal="center" vertical="center" wrapText="1"/>
    </xf>
    <xf numFmtId="0" fontId="21" fillId="0" borderId="74" xfId="0" applyFont="1" applyBorder="1" applyAlignment="1">
      <alignment/>
    </xf>
    <xf numFmtId="0" fontId="21" fillId="0" borderId="68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165" fontId="22" fillId="0" borderId="77" xfId="0" applyNumberFormat="1" applyFont="1" applyFill="1" applyBorder="1" applyAlignment="1">
      <alignment horizontal="center" vertical="center" wrapText="1"/>
    </xf>
    <xf numFmtId="165" fontId="22" fillId="0" borderId="78" xfId="0" applyNumberFormat="1" applyFont="1" applyFill="1" applyBorder="1" applyAlignment="1">
      <alignment horizontal="center" vertical="center" wrapText="1"/>
    </xf>
    <xf numFmtId="165" fontId="22" fillId="0" borderId="79" xfId="0" applyNumberFormat="1" applyFont="1" applyFill="1" applyBorder="1" applyAlignment="1">
      <alignment horizontal="center" vertical="center" wrapText="1"/>
    </xf>
    <xf numFmtId="165" fontId="22" fillId="0" borderId="80" xfId="0" applyNumberFormat="1" applyFont="1" applyFill="1" applyBorder="1" applyAlignment="1">
      <alignment horizontal="center" vertical="center" wrapText="1"/>
    </xf>
    <xf numFmtId="0" fontId="21" fillId="0" borderId="60" xfId="0" applyFont="1" applyBorder="1" applyAlignment="1">
      <alignment/>
    </xf>
    <xf numFmtId="0" fontId="21" fillId="0" borderId="80" xfId="0" applyFont="1" applyFill="1" applyBorder="1" applyAlignment="1">
      <alignment horizontal="center" vertical="center" wrapText="1"/>
    </xf>
    <xf numFmtId="0" fontId="21" fillId="0" borderId="73" xfId="0" applyFont="1" applyFill="1" applyBorder="1" applyAlignment="1">
      <alignment horizontal="center" vertical="center" wrapText="1"/>
    </xf>
    <xf numFmtId="0" fontId="21" fillId="0" borderId="67" xfId="0" applyFont="1" applyBorder="1" applyAlignment="1">
      <alignment/>
    </xf>
    <xf numFmtId="0" fontId="21" fillId="0" borderId="63" xfId="0" applyFont="1" applyBorder="1" applyAlignment="1">
      <alignment/>
    </xf>
    <xf numFmtId="0" fontId="22" fillId="0" borderId="68" xfId="0" applyFont="1" applyFill="1" applyBorder="1" applyAlignment="1">
      <alignment/>
    </xf>
    <xf numFmtId="0" fontId="21" fillId="0" borderId="64" xfId="0" applyFont="1" applyBorder="1" applyAlignment="1">
      <alignment/>
    </xf>
    <xf numFmtId="0" fontId="21" fillId="0" borderId="81" xfId="0" applyFont="1" applyFill="1" applyBorder="1" applyAlignment="1">
      <alignment horizontal="center" vertical="center"/>
    </xf>
    <xf numFmtId="0" fontId="21" fillId="0" borderId="82" xfId="0" applyFont="1" applyBorder="1" applyAlignment="1">
      <alignment/>
    </xf>
    <xf numFmtId="0" fontId="21" fillId="0" borderId="56" xfId="0" applyFont="1" applyFill="1" applyBorder="1" applyAlignment="1">
      <alignment horizontal="center" vertical="center"/>
    </xf>
    <xf numFmtId="0" fontId="21" fillId="0" borderId="20" xfId="0" applyFont="1" applyBorder="1" applyAlignment="1">
      <alignment/>
    </xf>
    <xf numFmtId="165" fontId="22" fillId="0" borderId="68" xfId="0" applyNumberFormat="1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/>
    </xf>
    <xf numFmtId="0" fontId="21" fillId="0" borderId="55" xfId="0" applyFont="1" applyFill="1" applyBorder="1" applyAlignment="1">
      <alignment horizontal="center" vertical="center"/>
    </xf>
    <xf numFmtId="0" fontId="21" fillId="0" borderId="51" xfId="0" applyFont="1" applyBorder="1" applyAlignment="1">
      <alignment horizontal="center"/>
    </xf>
    <xf numFmtId="0" fontId="21" fillId="0" borderId="82" xfId="0" applyFont="1" applyBorder="1" applyAlignment="1">
      <alignment horizontal="center"/>
    </xf>
    <xf numFmtId="0" fontId="21" fillId="0" borderId="83" xfId="0" applyFont="1" applyFill="1" applyBorder="1" applyAlignment="1">
      <alignment/>
    </xf>
    <xf numFmtId="0" fontId="21" fillId="0" borderId="84" xfId="0" applyFont="1" applyBorder="1" applyAlignment="1">
      <alignment/>
    </xf>
    <xf numFmtId="0" fontId="21" fillId="0" borderId="52" xfId="0" applyFont="1" applyBorder="1" applyAlignment="1">
      <alignment horizontal="center"/>
    </xf>
  </cellXfs>
  <cellStyles count="9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elkem" xfId="59"/>
    <cellStyle name="Comma" xfId="60"/>
    <cellStyle name="Comma [0]" xfId="61"/>
    <cellStyle name="Emphasis 1" xfId="62"/>
    <cellStyle name="Emphasis 2" xfId="63"/>
    <cellStyle name="Emphasis 3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Check Cell" xfId="71"/>
    <cellStyle name="Chybně" xfId="72"/>
    <cellStyle name="Input" xfId="73"/>
    <cellStyle name="Kontrolní buňka" xfId="74"/>
    <cellStyle name="Linked Cell" xfId="75"/>
    <cellStyle name="Currency" xfId="76"/>
    <cellStyle name="Currency [0]" xfId="77"/>
    <cellStyle name="Nadpis 1" xfId="78"/>
    <cellStyle name="Nadpis 2" xfId="79"/>
    <cellStyle name="Nadpis 3" xfId="80"/>
    <cellStyle name="Nadpis 4" xfId="81"/>
    <cellStyle name="Název" xfId="82"/>
    <cellStyle name="Neutral" xfId="83"/>
    <cellStyle name="Neutrální" xfId="84"/>
    <cellStyle name="Note" xfId="85"/>
    <cellStyle name="Output" xfId="86"/>
    <cellStyle name="Followed Hyperlink" xfId="87"/>
    <cellStyle name="Poznámka" xfId="88"/>
    <cellStyle name="Percent" xfId="89"/>
    <cellStyle name="Propojená buňka" xfId="90"/>
    <cellStyle name="Sheet Title" xfId="91"/>
    <cellStyle name="Správně" xfId="92"/>
    <cellStyle name="Text upozornění" xfId="93"/>
    <cellStyle name="Vstup" xfId="94"/>
    <cellStyle name="Výpočet" xfId="95"/>
    <cellStyle name="Výstup" xfId="96"/>
    <cellStyle name="Vysvětlující text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4">
    <tabColor rgb="FF00B050"/>
    <pageSetUpPr fitToPage="1"/>
  </sheetPr>
  <dimension ref="A1:M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25390625" style="3" customWidth="1"/>
    <col min="2" max="2" width="25.125" style="4" customWidth="1"/>
    <col min="3" max="3" width="29.75390625" style="4" customWidth="1"/>
    <col min="4" max="4" width="7.25390625" style="5" bestFit="1" customWidth="1"/>
    <col min="5" max="6" width="11.00390625" style="4" customWidth="1"/>
    <col min="7" max="7" width="11.00390625" style="6" customWidth="1"/>
    <col min="8" max="9" width="11.00390625" style="4" customWidth="1"/>
    <col min="10" max="10" width="11.00390625" style="6" customWidth="1"/>
    <col min="11" max="11" width="11.00390625" style="169" customWidth="1"/>
    <col min="12" max="16384" width="9.125" style="8" customWidth="1"/>
  </cols>
  <sheetData>
    <row r="1" spans="1:11" s="23" customFormat="1" ht="18.75" thickBot="1">
      <c r="A1" s="1" t="s">
        <v>108</v>
      </c>
      <c r="B1" s="20"/>
      <c r="C1" s="20"/>
      <c r="D1" s="21"/>
      <c r="E1" s="20"/>
      <c r="F1" s="20"/>
      <c r="G1" s="22"/>
      <c r="H1" s="20"/>
      <c r="I1" s="20"/>
      <c r="J1" s="22"/>
      <c r="K1" s="22"/>
    </row>
    <row r="2" spans="1:11" s="19" customFormat="1" ht="16.5" thickBot="1">
      <c r="A2" s="259"/>
      <c r="B2" s="261" t="s">
        <v>57</v>
      </c>
      <c r="C2" s="263" t="s">
        <v>0</v>
      </c>
      <c r="D2" s="265" t="s">
        <v>3</v>
      </c>
      <c r="E2" s="267" t="s">
        <v>4</v>
      </c>
      <c r="F2" s="267"/>
      <c r="G2" s="267"/>
      <c r="H2" s="268" t="s">
        <v>5</v>
      </c>
      <c r="I2" s="267"/>
      <c r="J2" s="269"/>
      <c r="K2" s="257" t="s">
        <v>2</v>
      </c>
    </row>
    <row r="3" spans="1:11" s="19" customFormat="1" ht="30.75" thickBot="1">
      <c r="A3" s="260"/>
      <c r="B3" s="262"/>
      <c r="C3" s="264"/>
      <c r="D3" s="266"/>
      <c r="E3" s="91" t="s">
        <v>6</v>
      </c>
      <c r="F3" s="16" t="s">
        <v>7</v>
      </c>
      <c r="G3" s="38" t="s">
        <v>8</v>
      </c>
      <c r="H3" s="15" t="s">
        <v>6</v>
      </c>
      <c r="I3" s="16" t="s">
        <v>7</v>
      </c>
      <c r="J3" s="36" t="s">
        <v>9</v>
      </c>
      <c r="K3" s="258"/>
    </row>
    <row r="4" spans="1:11" s="43" customFormat="1" ht="15.75">
      <c r="A4" s="51">
        <v>1</v>
      </c>
      <c r="B4" s="208" t="s">
        <v>119</v>
      </c>
      <c r="C4" s="239" t="s">
        <v>11</v>
      </c>
      <c r="D4" s="41">
        <v>2012</v>
      </c>
      <c r="E4" s="241">
        <v>2</v>
      </c>
      <c r="F4" s="243">
        <f>10-1.03</f>
        <v>8.97</v>
      </c>
      <c r="G4" s="102">
        <f aca="true" t="shared" si="0" ref="G4:G20">SUM(E4:F4)</f>
        <v>10.97</v>
      </c>
      <c r="H4" s="241">
        <v>2</v>
      </c>
      <c r="I4" s="243">
        <f>10-0.85</f>
        <v>9.15</v>
      </c>
      <c r="J4" s="102">
        <f aca="true" t="shared" si="1" ref="J4:J20">SUM(H4:I4)</f>
        <v>11.15</v>
      </c>
      <c r="K4" s="167">
        <f aca="true" t="shared" si="2" ref="K4:K20">J4+G4</f>
        <v>22.12</v>
      </c>
    </row>
    <row r="5" spans="1:13" s="43" customFormat="1" ht="15.75">
      <c r="A5" s="54">
        <v>2</v>
      </c>
      <c r="B5" s="131" t="s">
        <v>109</v>
      </c>
      <c r="C5" s="165" t="s">
        <v>23</v>
      </c>
      <c r="D5" s="47">
        <v>2012</v>
      </c>
      <c r="E5" s="240">
        <v>2</v>
      </c>
      <c r="F5" s="242">
        <f>10-1.23</f>
        <v>8.77</v>
      </c>
      <c r="G5" s="83">
        <f t="shared" si="0"/>
        <v>10.77</v>
      </c>
      <c r="H5" s="240">
        <v>2</v>
      </c>
      <c r="I5" s="242">
        <f>10-0.7</f>
        <v>9.3</v>
      </c>
      <c r="J5" s="83">
        <f t="shared" si="1"/>
        <v>11.3</v>
      </c>
      <c r="K5" s="168">
        <f t="shared" si="2"/>
        <v>22.07</v>
      </c>
      <c r="M5" s="119"/>
    </row>
    <row r="6" spans="1:13" s="43" customFormat="1" ht="15.75">
      <c r="A6" s="54">
        <v>3</v>
      </c>
      <c r="B6" s="166" t="s">
        <v>110</v>
      </c>
      <c r="C6" s="162" t="s">
        <v>111</v>
      </c>
      <c r="D6" s="47">
        <v>2013</v>
      </c>
      <c r="E6" s="95">
        <v>2</v>
      </c>
      <c r="F6" s="94">
        <f>10-1.13</f>
        <v>8.870000000000001</v>
      </c>
      <c r="G6" s="83">
        <f t="shared" si="0"/>
        <v>10.870000000000001</v>
      </c>
      <c r="H6" s="95">
        <v>2</v>
      </c>
      <c r="I6" s="94">
        <f>10-0.85</f>
        <v>9.15</v>
      </c>
      <c r="J6" s="83">
        <f t="shared" si="1"/>
        <v>11.15</v>
      </c>
      <c r="K6" s="168">
        <f t="shared" si="2"/>
        <v>22.020000000000003</v>
      </c>
      <c r="M6" s="119"/>
    </row>
    <row r="7" spans="1:13" s="43" customFormat="1" ht="15.75">
      <c r="A7" s="54">
        <v>4</v>
      </c>
      <c r="B7" s="45" t="s">
        <v>114</v>
      </c>
      <c r="C7" s="162" t="s">
        <v>111</v>
      </c>
      <c r="D7" s="47">
        <v>2012</v>
      </c>
      <c r="E7" s="95">
        <v>2</v>
      </c>
      <c r="F7" s="94">
        <f>10-1.16</f>
        <v>8.84</v>
      </c>
      <c r="G7" s="83">
        <f t="shared" si="0"/>
        <v>10.84</v>
      </c>
      <c r="H7" s="95">
        <v>2</v>
      </c>
      <c r="I7" s="94">
        <f>10-0.85</f>
        <v>9.15</v>
      </c>
      <c r="J7" s="83">
        <f t="shared" si="1"/>
        <v>11.15</v>
      </c>
      <c r="K7" s="168">
        <f t="shared" si="2"/>
        <v>21.990000000000002</v>
      </c>
      <c r="M7" s="119"/>
    </row>
    <row r="8" spans="1:13" s="43" customFormat="1" ht="15.75">
      <c r="A8" s="54">
        <v>5</v>
      </c>
      <c r="B8" s="131" t="s">
        <v>117</v>
      </c>
      <c r="C8" s="162" t="s">
        <v>32</v>
      </c>
      <c r="D8" s="47">
        <v>2012</v>
      </c>
      <c r="E8" s="95">
        <v>2</v>
      </c>
      <c r="F8" s="94">
        <f>10-1.3</f>
        <v>8.7</v>
      </c>
      <c r="G8" s="83">
        <f t="shared" si="0"/>
        <v>10.7</v>
      </c>
      <c r="H8" s="95">
        <v>2</v>
      </c>
      <c r="I8" s="94">
        <f>10-0.95</f>
        <v>9.05</v>
      </c>
      <c r="J8" s="83">
        <f t="shared" si="1"/>
        <v>11.05</v>
      </c>
      <c r="K8" s="168">
        <f t="shared" si="2"/>
        <v>21.75</v>
      </c>
      <c r="M8" s="119"/>
    </row>
    <row r="9" spans="1:13" s="43" customFormat="1" ht="15.75">
      <c r="A9" s="54">
        <v>6</v>
      </c>
      <c r="B9" s="131" t="s">
        <v>121</v>
      </c>
      <c r="C9" s="162" t="s">
        <v>11</v>
      </c>
      <c r="D9" s="81">
        <v>2012</v>
      </c>
      <c r="E9" s="95">
        <v>2</v>
      </c>
      <c r="F9" s="94">
        <f>10-1.36</f>
        <v>8.64</v>
      </c>
      <c r="G9" s="83">
        <f t="shared" si="0"/>
        <v>10.64</v>
      </c>
      <c r="H9" s="95">
        <v>2</v>
      </c>
      <c r="I9" s="94">
        <f>10-0.95</f>
        <v>9.05</v>
      </c>
      <c r="J9" s="83">
        <f t="shared" si="1"/>
        <v>11.05</v>
      </c>
      <c r="K9" s="168">
        <f t="shared" si="2"/>
        <v>21.69</v>
      </c>
      <c r="M9" s="119"/>
    </row>
    <row r="10" spans="1:11" s="43" customFormat="1" ht="15.75">
      <c r="A10" s="54">
        <v>7</v>
      </c>
      <c r="B10" s="166" t="s">
        <v>120</v>
      </c>
      <c r="C10" s="162" t="s">
        <v>11</v>
      </c>
      <c r="D10" s="47">
        <v>2012</v>
      </c>
      <c r="E10" s="95">
        <v>2</v>
      </c>
      <c r="F10" s="94">
        <f>10-1.7</f>
        <v>8.3</v>
      </c>
      <c r="G10" s="83">
        <f t="shared" si="0"/>
        <v>10.3</v>
      </c>
      <c r="H10" s="95">
        <v>2</v>
      </c>
      <c r="I10" s="94">
        <f>10-0.95</f>
        <v>9.05</v>
      </c>
      <c r="J10" s="83">
        <f t="shared" si="1"/>
        <v>11.05</v>
      </c>
      <c r="K10" s="168">
        <f t="shared" si="2"/>
        <v>21.35</v>
      </c>
    </row>
    <row r="11" spans="1:11" s="43" customFormat="1" ht="15.75">
      <c r="A11" s="54">
        <v>8</v>
      </c>
      <c r="B11" s="166" t="s">
        <v>116</v>
      </c>
      <c r="C11" s="162" t="s">
        <v>32</v>
      </c>
      <c r="D11" s="47">
        <v>2012</v>
      </c>
      <c r="E11" s="95">
        <v>2</v>
      </c>
      <c r="F11" s="94">
        <f>10-1.83</f>
        <v>8.17</v>
      </c>
      <c r="G11" s="83">
        <f t="shared" si="0"/>
        <v>10.17</v>
      </c>
      <c r="H11" s="95">
        <v>2</v>
      </c>
      <c r="I11" s="94">
        <f>10-0.95</f>
        <v>9.05</v>
      </c>
      <c r="J11" s="83">
        <f t="shared" si="1"/>
        <v>11.05</v>
      </c>
      <c r="K11" s="168">
        <f t="shared" si="2"/>
        <v>21.22</v>
      </c>
    </row>
    <row r="12" spans="1:11" s="43" customFormat="1" ht="15.75">
      <c r="A12" s="54">
        <v>9</v>
      </c>
      <c r="B12" s="45" t="s">
        <v>112</v>
      </c>
      <c r="C12" s="162" t="s">
        <v>111</v>
      </c>
      <c r="D12" s="47">
        <v>2012</v>
      </c>
      <c r="E12" s="95">
        <v>2</v>
      </c>
      <c r="F12" s="94">
        <f>10-1.86</f>
        <v>8.14</v>
      </c>
      <c r="G12" s="83">
        <f t="shared" si="0"/>
        <v>10.14</v>
      </c>
      <c r="H12" s="95">
        <v>2</v>
      </c>
      <c r="I12" s="94">
        <f>10-0.95</f>
        <v>9.05</v>
      </c>
      <c r="J12" s="83">
        <f t="shared" si="1"/>
        <v>11.05</v>
      </c>
      <c r="K12" s="168">
        <f t="shared" si="2"/>
        <v>21.19</v>
      </c>
    </row>
    <row r="13" spans="1:11" s="43" customFormat="1" ht="15.75">
      <c r="A13" s="54">
        <v>10</v>
      </c>
      <c r="B13" s="131" t="s">
        <v>122</v>
      </c>
      <c r="C13" s="162" t="s">
        <v>11</v>
      </c>
      <c r="D13" s="80">
        <v>2012</v>
      </c>
      <c r="E13" s="95">
        <v>2</v>
      </c>
      <c r="F13" s="94">
        <f>10-1.73</f>
        <v>8.27</v>
      </c>
      <c r="G13" s="83">
        <f t="shared" si="0"/>
        <v>10.27</v>
      </c>
      <c r="H13" s="95">
        <v>2</v>
      </c>
      <c r="I13" s="94">
        <f>10-1.45</f>
        <v>8.55</v>
      </c>
      <c r="J13" s="83">
        <f t="shared" si="1"/>
        <v>10.55</v>
      </c>
      <c r="K13" s="168">
        <f t="shared" si="2"/>
        <v>20.82</v>
      </c>
    </row>
    <row r="14" spans="1:11" s="43" customFormat="1" ht="15.75">
      <c r="A14" s="54">
        <v>11</v>
      </c>
      <c r="B14" s="131" t="s">
        <v>113</v>
      </c>
      <c r="C14" s="162" t="s">
        <v>111</v>
      </c>
      <c r="D14" s="47">
        <v>2013</v>
      </c>
      <c r="E14" s="95">
        <v>2</v>
      </c>
      <c r="F14" s="94">
        <f>10-2.26</f>
        <v>7.74</v>
      </c>
      <c r="G14" s="83">
        <f t="shared" si="0"/>
        <v>9.74</v>
      </c>
      <c r="H14" s="95">
        <v>2</v>
      </c>
      <c r="I14" s="94">
        <f>10-1.2</f>
        <v>8.8</v>
      </c>
      <c r="J14" s="83">
        <f t="shared" si="1"/>
        <v>10.8</v>
      </c>
      <c r="K14" s="168">
        <f t="shared" si="2"/>
        <v>20.54</v>
      </c>
    </row>
    <row r="15" spans="1:11" s="43" customFormat="1" ht="15.75">
      <c r="A15" s="54">
        <v>12</v>
      </c>
      <c r="B15" s="45" t="s">
        <v>118</v>
      </c>
      <c r="C15" s="162" t="s">
        <v>32</v>
      </c>
      <c r="D15" s="80">
        <v>2012</v>
      </c>
      <c r="E15" s="95">
        <v>2</v>
      </c>
      <c r="F15" s="94">
        <f>10-2.03</f>
        <v>7.970000000000001</v>
      </c>
      <c r="G15" s="83">
        <f t="shared" si="0"/>
        <v>9.97</v>
      </c>
      <c r="H15" s="95">
        <v>2</v>
      </c>
      <c r="I15" s="94">
        <f>10-1.55</f>
        <v>8.45</v>
      </c>
      <c r="J15" s="83">
        <f t="shared" si="1"/>
        <v>10.45</v>
      </c>
      <c r="K15" s="168">
        <f t="shared" si="2"/>
        <v>20.42</v>
      </c>
    </row>
    <row r="16" spans="1:11" s="43" customFormat="1" ht="15.75">
      <c r="A16" s="54">
        <v>13</v>
      </c>
      <c r="B16" s="131" t="s">
        <v>125</v>
      </c>
      <c r="C16" s="162" t="s">
        <v>20</v>
      </c>
      <c r="D16" s="80">
        <v>2013</v>
      </c>
      <c r="E16" s="95">
        <v>2</v>
      </c>
      <c r="F16" s="94">
        <f>10-2.1</f>
        <v>7.9</v>
      </c>
      <c r="G16" s="83">
        <f t="shared" si="0"/>
        <v>9.9</v>
      </c>
      <c r="H16" s="95">
        <v>2</v>
      </c>
      <c r="I16" s="94">
        <f>10-1.65</f>
        <v>8.35</v>
      </c>
      <c r="J16" s="83">
        <f t="shared" si="1"/>
        <v>10.35</v>
      </c>
      <c r="K16" s="168">
        <f t="shared" si="2"/>
        <v>20.25</v>
      </c>
    </row>
    <row r="17" spans="1:11" s="43" customFormat="1" ht="15.75">
      <c r="A17" s="54">
        <v>14</v>
      </c>
      <c r="B17" s="158" t="s">
        <v>189</v>
      </c>
      <c r="C17" s="162" t="s">
        <v>20</v>
      </c>
      <c r="D17" s="80">
        <v>2012</v>
      </c>
      <c r="E17" s="95">
        <v>2</v>
      </c>
      <c r="F17" s="94">
        <f>10-1.93</f>
        <v>8.07</v>
      </c>
      <c r="G17" s="83">
        <f t="shared" si="0"/>
        <v>10.07</v>
      </c>
      <c r="H17" s="95">
        <v>2</v>
      </c>
      <c r="I17" s="94">
        <f>10-2</f>
        <v>8</v>
      </c>
      <c r="J17" s="83">
        <f t="shared" si="1"/>
        <v>10</v>
      </c>
      <c r="K17" s="168">
        <f t="shared" si="2"/>
        <v>20.07</v>
      </c>
    </row>
    <row r="18" spans="1:11" s="26" customFormat="1" ht="15.75">
      <c r="A18" s="54">
        <v>15</v>
      </c>
      <c r="B18" s="158" t="s">
        <v>188</v>
      </c>
      <c r="C18" s="187" t="s">
        <v>20</v>
      </c>
      <c r="D18" s="127">
        <v>2012</v>
      </c>
      <c r="E18" s="95">
        <v>2</v>
      </c>
      <c r="F18" s="94">
        <f>10-2.06</f>
        <v>7.9399999999999995</v>
      </c>
      <c r="G18" s="83">
        <f t="shared" si="0"/>
        <v>9.94</v>
      </c>
      <c r="H18" s="95">
        <v>2</v>
      </c>
      <c r="I18" s="94">
        <f>10-2.15</f>
        <v>7.85</v>
      </c>
      <c r="J18" s="83">
        <f t="shared" si="1"/>
        <v>9.85</v>
      </c>
      <c r="K18" s="168">
        <f t="shared" si="2"/>
        <v>19.79</v>
      </c>
    </row>
    <row r="19" spans="1:11" s="26" customFormat="1" ht="15.75">
      <c r="A19" s="186">
        <v>16</v>
      </c>
      <c r="B19" s="209" t="s">
        <v>123</v>
      </c>
      <c r="C19" s="187" t="s">
        <v>11</v>
      </c>
      <c r="D19" s="127">
        <v>2013</v>
      </c>
      <c r="E19" s="95">
        <v>2</v>
      </c>
      <c r="F19" s="94">
        <f>10-2.26</f>
        <v>7.74</v>
      </c>
      <c r="G19" s="83">
        <f t="shared" si="0"/>
        <v>9.74</v>
      </c>
      <c r="H19" s="95">
        <v>2</v>
      </c>
      <c r="I19" s="94">
        <f>10-2.1</f>
        <v>7.9</v>
      </c>
      <c r="J19" s="83">
        <f t="shared" si="1"/>
        <v>9.9</v>
      </c>
      <c r="K19" s="168">
        <f t="shared" si="2"/>
        <v>19.64</v>
      </c>
    </row>
    <row r="20" spans="1:11" s="26" customFormat="1" ht="16.5" thickBot="1">
      <c r="A20" s="57">
        <v>17</v>
      </c>
      <c r="B20" s="159" t="s">
        <v>124</v>
      </c>
      <c r="C20" s="164" t="s">
        <v>11</v>
      </c>
      <c r="D20" s="132">
        <v>2013</v>
      </c>
      <c r="E20" s="202">
        <v>2</v>
      </c>
      <c r="F20" s="203">
        <f>10-2.66</f>
        <v>7.34</v>
      </c>
      <c r="G20" s="204">
        <f t="shared" si="0"/>
        <v>9.34</v>
      </c>
      <c r="H20" s="202">
        <v>2</v>
      </c>
      <c r="I20" s="203">
        <f>10-2.1</f>
        <v>7.9</v>
      </c>
      <c r="J20" s="204">
        <f t="shared" si="1"/>
        <v>9.9</v>
      </c>
      <c r="K20" s="205">
        <f t="shared" si="2"/>
        <v>19.240000000000002</v>
      </c>
    </row>
    <row r="21" spans="1:11" s="28" customFormat="1" ht="14.25">
      <c r="A21" s="30"/>
      <c r="B21" s="34"/>
      <c r="C21" s="34"/>
      <c r="D21" s="35"/>
      <c r="E21" s="34"/>
      <c r="F21" s="34"/>
      <c r="G21" s="7"/>
      <c r="H21" s="34"/>
      <c r="I21" s="34"/>
      <c r="J21" s="7"/>
      <c r="K21" s="169"/>
    </row>
    <row r="22" spans="1:11" s="28" customFormat="1" ht="14.25">
      <c r="A22" s="30"/>
      <c r="B22" s="34"/>
      <c r="C22" s="34"/>
      <c r="D22" s="35"/>
      <c r="E22" s="34"/>
      <c r="F22" s="34"/>
      <c r="G22" s="7"/>
      <c r="H22" s="34"/>
      <c r="I22" s="34"/>
      <c r="J22" s="7"/>
      <c r="K22" s="169"/>
    </row>
    <row r="23" spans="1:11" s="28" customFormat="1" ht="14.25">
      <c r="A23" s="30"/>
      <c r="B23" s="34"/>
      <c r="C23" s="34"/>
      <c r="D23" s="35"/>
      <c r="E23" s="34"/>
      <c r="F23" s="34"/>
      <c r="G23" s="7"/>
      <c r="H23" s="34"/>
      <c r="I23" s="34"/>
      <c r="J23" s="7"/>
      <c r="K23" s="169"/>
    </row>
    <row r="24" spans="1:11" s="28" customFormat="1" ht="14.25">
      <c r="A24" s="30"/>
      <c r="B24" s="34"/>
      <c r="C24" s="34"/>
      <c r="D24" s="35"/>
      <c r="E24" s="34"/>
      <c r="F24" s="34"/>
      <c r="G24" s="7"/>
      <c r="H24" s="34"/>
      <c r="I24" s="34"/>
      <c r="J24" s="7"/>
      <c r="K24" s="169"/>
    </row>
    <row r="25" spans="1:11" s="28" customFormat="1" ht="14.25">
      <c r="A25" s="30"/>
      <c r="B25" s="34"/>
      <c r="C25" s="34"/>
      <c r="D25" s="35"/>
      <c r="E25" s="34"/>
      <c r="F25" s="34"/>
      <c r="G25" s="7"/>
      <c r="H25" s="34"/>
      <c r="I25" s="34"/>
      <c r="J25" s="7"/>
      <c r="K25" s="169"/>
    </row>
    <row r="26" spans="1:11" s="28" customFormat="1" ht="14.25">
      <c r="A26" s="30"/>
      <c r="B26" s="34"/>
      <c r="C26" s="34"/>
      <c r="D26" s="35"/>
      <c r="E26" s="34"/>
      <c r="F26" s="34"/>
      <c r="G26" s="7"/>
      <c r="H26" s="34"/>
      <c r="I26" s="34"/>
      <c r="J26" s="7"/>
      <c r="K26" s="169"/>
    </row>
    <row r="27" spans="1:11" s="28" customFormat="1" ht="14.25">
      <c r="A27" s="30"/>
      <c r="B27" s="34"/>
      <c r="C27" s="34"/>
      <c r="D27" s="35"/>
      <c r="E27" s="34"/>
      <c r="F27" s="34"/>
      <c r="G27" s="7"/>
      <c r="H27" s="34"/>
      <c r="I27" s="34"/>
      <c r="J27" s="7"/>
      <c r="K27" s="169"/>
    </row>
    <row r="28" spans="1:11" s="28" customFormat="1" ht="14.25">
      <c r="A28" s="30"/>
      <c r="B28" s="34"/>
      <c r="C28" s="34"/>
      <c r="D28" s="35"/>
      <c r="E28" s="34"/>
      <c r="F28" s="34"/>
      <c r="G28" s="7"/>
      <c r="H28" s="34"/>
      <c r="I28" s="34"/>
      <c r="J28" s="7"/>
      <c r="K28" s="169"/>
    </row>
    <row r="29" spans="1:11" s="28" customFormat="1" ht="14.25">
      <c r="A29" s="30"/>
      <c r="B29" s="34"/>
      <c r="C29" s="34"/>
      <c r="D29" s="35"/>
      <c r="E29" s="34"/>
      <c r="F29" s="34"/>
      <c r="G29" s="7"/>
      <c r="H29" s="34"/>
      <c r="I29" s="34"/>
      <c r="J29" s="7"/>
      <c r="K29" s="169"/>
    </row>
    <row r="30" spans="1:11" s="28" customFormat="1" ht="14.25">
      <c r="A30" s="30"/>
      <c r="B30" s="34"/>
      <c r="C30" s="34"/>
      <c r="D30" s="35"/>
      <c r="E30" s="34"/>
      <c r="F30" s="34"/>
      <c r="G30" s="7"/>
      <c r="H30" s="34"/>
      <c r="I30" s="34"/>
      <c r="J30" s="7"/>
      <c r="K30" s="169"/>
    </row>
    <row r="31" spans="1:11" s="28" customFormat="1" ht="14.25">
      <c r="A31" s="30"/>
      <c r="B31" s="34"/>
      <c r="C31" s="34"/>
      <c r="D31" s="35"/>
      <c r="E31" s="34"/>
      <c r="F31" s="34"/>
      <c r="G31" s="7"/>
      <c r="H31" s="34"/>
      <c r="I31" s="34"/>
      <c r="J31" s="7"/>
      <c r="K31" s="169"/>
    </row>
    <row r="32" spans="1:11" s="28" customFormat="1" ht="14.25">
      <c r="A32" s="30"/>
      <c r="B32" s="34"/>
      <c r="C32" s="34"/>
      <c r="D32" s="35"/>
      <c r="E32" s="34"/>
      <c r="F32" s="34"/>
      <c r="G32" s="7"/>
      <c r="H32" s="34"/>
      <c r="I32" s="34"/>
      <c r="J32" s="7"/>
      <c r="K32" s="169"/>
    </row>
    <row r="33" spans="1:11" s="28" customFormat="1" ht="14.25">
      <c r="A33" s="30"/>
      <c r="B33" s="34"/>
      <c r="C33" s="34"/>
      <c r="D33" s="35"/>
      <c r="E33" s="34"/>
      <c r="F33" s="34"/>
      <c r="G33" s="7"/>
      <c r="H33" s="34"/>
      <c r="I33" s="34"/>
      <c r="J33" s="7"/>
      <c r="K33" s="169"/>
    </row>
    <row r="34" ht="14.25">
      <c r="A34" s="30"/>
    </row>
  </sheetData>
  <sheetProtection/>
  <mergeCells count="7">
    <mergeCell ref="K2:K3"/>
    <mergeCell ref="A2:A3"/>
    <mergeCell ref="B2:B3"/>
    <mergeCell ref="C2:C3"/>
    <mergeCell ref="D2:D3"/>
    <mergeCell ref="E2:G2"/>
    <mergeCell ref="H2:J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3" r:id="rId1"/>
  <headerFooter>
    <oddHeader>&amp;C5. ROČNÍK "POHÁDKOVÉHO ZÁVODU" 22.4.2018 V JIČÍNĚ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L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25390625" style="0" customWidth="1"/>
    <col min="2" max="2" width="22.75390625" style="0" customWidth="1"/>
    <col min="3" max="3" width="30.75390625" style="0" customWidth="1"/>
    <col min="4" max="4" width="7.00390625" style="0" customWidth="1"/>
    <col min="5" max="5" width="8.00390625" style="0" customWidth="1"/>
    <col min="6" max="6" width="8.875" style="0" customWidth="1"/>
    <col min="7" max="7" width="11.125" style="0" customWidth="1"/>
    <col min="8" max="8" width="9.125" style="0" customWidth="1"/>
    <col min="9" max="9" width="8.625" style="0" customWidth="1"/>
    <col min="10" max="10" width="11.625" style="0" customWidth="1"/>
    <col min="11" max="11" width="9.625" style="175" customWidth="1"/>
  </cols>
  <sheetData>
    <row r="1" spans="1:12" ht="18.75" thickBot="1">
      <c r="A1" s="17" t="s">
        <v>159</v>
      </c>
      <c r="B1" s="24"/>
      <c r="C1" s="24"/>
      <c r="D1" s="25"/>
      <c r="E1" s="20"/>
      <c r="F1" s="22"/>
      <c r="G1" s="20"/>
      <c r="H1" s="22"/>
      <c r="I1" s="20"/>
      <c r="J1" s="22"/>
      <c r="K1" s="20"/>
      <c r="L1" s="256"/>
    </row>
    <row r="2" spans="1:11" ht="16.5" thickBot="1">
      <c r="A2" s="276"/>
      <c r="B2" s="261" t="s">
        <v>57</v>
      </c>
      <c r="C2" s="280" t="s">
        <v>0</v>
      </c>
      <c r="D2" s="278" t="s">
        <v>3</v>
      </c>
      <c r="E2" s="268" t="s">
        <v>1</v>
      </c>
      <c r="F2" s="267"/>
      <c r="G2" s="269"/>
      <c r="H2" s="268" t="s">
        <v>5</v>
      </c>
      <c r="I2" s="267"/>
      <c r="J2" s="269"/>
      <c r="K2" s="282" t="s">
        <v>2</v>
      </c>
    </row>
    <row r="3" spans="1:11" ht="30.75" thickBot="1">
      <c r="A3" s="277"/>
      <c r="B3" s="262"/>
      <c r="C3" s="281"/>
      <c r="D3" s="286"/>
      <c r="E3" s="69" t="s">
        <v>6</v>
      </c>
      <c r="F3" s="71" t="s">
        <v>7</v>
      </c>
      <c r="G3" s="37" t="s">
        <v>10</v>
      </c>
      <c r="H3" s="69" t="s">
        <v>6</v>
      </c>
      <c r="I3" s="71" t="s">
        <v>7</v>
      </c>
      <c r="J3" s="37" t="s">
        <v>9</v>
      </c>
      <c r="K3" s="283"/>
    </row>
    <row r="4" spans="1:11" ht="15.75">
      <c r="A4" s="51">
        <v>1</v>
      </c>
      <c r="B4" s="123" t="s">
        <v>88</v>
      </c>
      <c r="C4" s="211" t="s">
        <v>13</v>
      </c>
      <c r="D4" s="144">
        <v>2007</v>
      </c>
      <c r="E4" s="60">
        <v>3.1</v>
      </c>
      <c r="F4" s="86">
        <f>10-1.25</f>
        <v>8.75</v>
      </c>
      <c r="G4" s="87">
        <f aca="true" t="shared" si="0" ref="G4:G17">+E4+F4</f>
        <v>11.85</v>
      </c>
      <c r="H4" s="88">
        <v>3</v>
      </c>
      <c r="I4" s="86">
        <f>10-1.05</f>
        <v>8.95</v>
      </c>
      <c r="J4" s="87">
        <f aca="true" t="shared" si="1" ref="J4:J17">+H4+I4</f>
        <v>11.95</v>
      </c>
      <c r="K4" s="176">
        <f aca="true" t="shared" si="2" ref="K4:K17">J4+G4</f>
        <v>23.799999999999997</v>
      </c>
    </row>
    <row r="5" spans="1:11" ht="15.75">
      <c r="A5" s="54">
        <v>2</v>
      </c>
      <c r="B5" s="53" t="s">
        <v>89</v>
      </c>
      <c r="C5" s="192" t="s">
        <v>13</v>
      </c>
      <c r="D5" s="143">
        <v>2007</v>
      </c>
      <c r="E5" s="55">
        <v>3.2</v>
      </c>
      <c r="F5" s="73">
        <f>10-2.05</f>
        <v>7.95</v>
      </c>
      <c r="G5" s="42">
        <f t="shared" si="0"/>
        <v>11.15</v>
      </c>
      <c r="H5" s="78">
        <v>3</v>
      </c>
      <c r="I5" s="73">
        <f>10-1</f>
        <v>9</v>
      </c>
      <c r="J5" s="42">
        <f t="shared" si="1"/>
        <v>12</v>
      </c>
      <c r="K5" s="177">
        <f t="shared" si="2"/>
        <v>23.15</v>
      </c>
    </row>
    <row r="6" spans="1:11" ht="15.75">
      <c r="A6" s="82">
        <v>3</v>
      </c>
      <c r="B6" s="190" t="s">
        <v>67</v>
      </c>
      <c r="C6" s="238" t="s">
        <v>25</v>
      </c>
      <c r="D6" s="143">
        <v>2006</v>
      </c>
      <c r="E6" s="55">
        <v>2.8</v>
      </c>
      <c r="F6" s="73">
        <f>10-1.7</f>
        <v>8.3</v>
      </c>
      <c r="G6" s="42">
        <f t="shared" si="0"/>
        <v>11.100000000000001</v>
      </c>
      <c r="H6" s="78">
        <v>3.2</v>
      </c>
      <c r="I6" s="73">
        <f>10-2.1</f>
        <v>7.9</v>
      </c>
      <c r="J6" s="42">
        <f t="shared" si="1"/>
        <v>11.100000000000001</v>
      </c>
      <c r="K6" s="177">
        <f t="shared" si="2"/>
        <v>22.200000000000003</v>
      </c>
    </row>
    <row r="7" spans="1:11" ht="15.75">
      <c r="A7" s="54">
        <v>4</v>
      </c>
      <c r="B7" s="53" t="s">
        <v>160</v>
      </c>
      <c r="C7" s="46" t="s">
        <v>23</v>
      </c>
      <c r="D7" s="191">
        <v>2007</v>
      </c>
      <c r="E7" s="55">
        <v>2.9</v>
      </c>
      <c r="F7" s="73">
        <f>10-1.65</f>
        <v>8.35</v>
      </c>
      <c r="G7" s="42">
        <f t="shared" si="0"/>
        <v>11.25</v>
      </c>
      <c r="H7" s="78">
        <v>3</v>
      </c>
      <c r="I7" s="73">
        <f>10-2.3</f>
        <v>7.7</v>
      </c>
      <c r="J7" s="42">
        <f t="shared" si="1"/>
        <v>10.7</v>
      </c>
      <c r="K7" s="177">
        <f t="shared" si="2"/>
        <v>21.95</v>
      </c>
    </row>
    <row r="8" spans="1:11" ht="15.75">
      <c r="A8" s="82">
        <v>5</v>
      </c>
      <c r="B8" s="136" t="s">
        <v>81</v>
      </c>
      <c r="C8" s="192" t="s">
        <v>42</v>
      </c>
      <c r="D8" s="143">
        <v>2006</v>
      </c>
      <c r="E8" s="55">
        <v>2.9</v>
      </c>
      <c r="F8" s="73">
        <f>10-2.55</f>
        <v>7.45</v>
      </c>
      <c r="G8" s="42">
        <f t="shared" si="0"/>
        <v>10.35</v>
      </c>
      <c r="H8" s="55">
        <v>3</v>
      </c>
      <c r="I8" s="73">
        <f>10-1.4</f>
        <v>8.6</v>
      </c>
      <c r="J8" s="42">
        <f t="shared" si="1"/>
        <v>11.6</v>
      </c>
      <c r="K8" s="177">
        <f t="shared" si="2"/>
        <v>21.95</v>
      </c>
    </row>
    <row r="9" spans="1:11" ht="15.75">
      <c r="A9" s="54">
        <v>6</v>
      </c>
      <c r="B9" s="53" t="s">
        <v>53</v>
      </c>
      <c r="C9" s="192" t="s">
        <v>42</v>
      </c>
      <c r="D9" s="146">
        <v>2006</v>
      </c>
      <c r="E9" s="55">
        <v>3.2</v>
      </c>
      <c r="F9" s="73">
        <f>10-2.8</f>
        <v>7.2</v>
      </c>
      <c r="G9" s="42">
        <f t="shared" si="0"/>
        <v>10.4</v>
      </c>
      <c r="H9" s="55">
        <v>2.7</v>
      </c>
      <c r="I9" s="73">
        <f>10-2</f>
        <v>8</v>
      </c>
      <c r="J9" s="42">
        <f t="shared" si="1"/>
        <v>10.7</v>
      </c>
      <c r="K9" s="177">
        <f t="shared" si="2"/>
        <v>21.1</v>
      </c>
    </row>
    <row r="10" spans="1:11" ht="15.75">
      <c r="A10" s="186">
        <v>7</v>
      </c>
      <c r="B10" s="136" t="s">
        <v>87</v>
      </c>
      <c r="C10" s="192" t="s">
        <v>13</v>
      </c>
      <c r="D10" s="146">
        <v>2007</v>
      </c>
      <c r="E10" s="128">
        <v>3</v>
      </c>
      <c r="F10" s="129">
        <f>10-2.7</f>
        <v>7.3</v>
      </c>
      <c r="G10" s="42">
        <f t="shared" si="0"/>
        <v>10.3</v>
      </c>
      <c r="H10" s="128">
        <v>2.9</v>
      </c>
      <c r="I10" s="129">
        <f>10-2.2</f>
        <v>7.8</v>
      </c>
      <c r="J10" s="42">
        <f t="shared" si="1"/>
        <v>10.7</v>
      </c>
      <c r="K10" s="177">
        <f t="shared" si="2"/>
        <v>21</v>
      </c>
    </row>
    <row r="11" spans="1:11" ht="15.75">
      <c r="A11" s="186">
        <v>8</v>
      </c>
      <c r="B11" s="136" t="s">
        <v>52</v>
      </c>
      <c r="C11" s="192" t="s">
        <v>42</v>
      </c>
      <c r="D11" s="146">
        <v>2007</v>
      </c>
      <c r="E11" s="128">
        <v>2.8</v>
      </c>
      <c r="F11" s="129">
        <f>10-2.85</f>
        <v>7.15</v>
      </c>
      <c r="G11" s="42">
        <f t="shared" si="0"/>
        <v>9.95</v>
      </c>
      <c r="H11" s="128">
        <v>3.1</v>
      </c>
      <c r="I11" s="129">
        <f>10-2.5</f>
        <v>7.5</v>
      </c>
      <c r="J11" s="42">
        <f t="shared" si="1"/>
        <v>10.6</v>
      </c>
      <c r="K11" s="177">
        <f t="shared" si="2"/>
        <v>20.549999999999997</v>
      </c>
    </row>
    <row r="12" spans="1:11" ht="15.75">
      <c r="A12" s="186">
        <v>9</v>
      </c>
      <c r="B12" s="136" t="s">
        <v>184</v>
      </c>
      <c r="C12" s="193" t="s">
        <v>31</v>
      </c>
      <c r="D12" s="146">
        <v>2007</v>
      </c>
      <c r="E12" s="128">
        <v>2.8</v>
      </c>
      <c r="F12" s="129">
        <f>10-3.15</f>
        <v>6.85</v>
      </c>
      <c r="G12" s="42">
        <f t="shared" si="0"/>
        <v>9.649999999999999</v>
      </c>
      <c r="H12" s="130">
        <v>2.7</v>
      </c>
      <c r="I12" s="129">
        <f>10-1.9</f>
        <v>8.1</v>
      </c>
      <c r="J12" s="42">
        <f t="shared" si="1"/>
        <v>10.8</v>
      </c>
      <c r="K12" s="177">
        <f t="shared" si="2"/>
        <v>20.45</v>
      </c>
    </row>
    <row r="13" spans="1:11" ht="15.75">
      <c r="A13" s="186">
        <v>10</v>
      </c>
      <c r="B13" s="136" t="s">
        <v>80</v>
      </c>
      <c r="C13" s="192" t="s">
        <v>42</v>
      </c>
      <c r="D13" s="146">
        <v>2007</v>
      </c>
      <c r="E13" s="128">
        <v>2.9</v>
      </c>
      <c r="F13" s="129">
        <f>10-3.45</f>
        <v>6.55</v>
      </c>
      <c r="G13" s="42">
        <f t="shared" si="0"/>
        <v>9.45</v>
      </c>
      <c r="H13" s="130">
        <v>3</v>
      </c>
      <c r="I13" s="129">
        <f>10-2.05</f>
        <v>7.95</v>
      </c>
      <c r="J13" s="42">
        <f t="shared" si="1"/>
        <v>10.95</v>
      </c>
      <c r="K13" s="177">
        <f t="shared" si="2"/>
        <v>20.4</v>
      </c>
    </row>
    <row r="14" spans="1:11" ht="15.75">
      <c r="A14" s="186">
        <v>11</v>
      </c>
      <c r="B14" s="136" t="s">
        <v>169</v>
      </c>
      <c r="C14" s="194" t="s">
        <v>25</v>
      </c>
      <c r="D14" s="146">
        <v>2007</v>
      </c>
      <c r="E14" s="128">
        <v>2.9</v>
      </c>
      <c r="F14" s="129">
        <f>10-2.4</f>
        <v>7.6</v>
      </c>
      <c r="G14" s="42">
        <f t="shared" si="0"/>
        <v>10.5</v>
      </c>
      <c r="H14" s="130">
        <v>2.6</v>
      </c>
      <c r="I14" s="129">
        <f>10-2.8</f>
        <v>7.2</v>
      </c>
      <c r="J14" s="42">
        <f t="shared" si="1"/>
        <v>9.8</v>
      </c>
      <c r="K14" s="177">
        <f t="shared" si="2"/>
        <v>20.3</v>
      </c>
    </row>
    <row r="15" spans="1:11" ht="15.75">
      <c r="A15" s="186">
        <v>12</v>
      </c>
      <c r="B15" s="136" t="s">
        <v>185</v>
      </c>
      <c r="C15" s="194" t="s">
        <v>31</v>
      </c>
      <c r="D15" s="146">
        <v>2007</v>
      </c>
      <c r="E15" s="128">
        <v>2.8</v>
      </c>
      <c r="F15" s="129">
        <f>10-3.15</f>
        <v>6.85</v>
      </c>
      <c r="G15" s="42">
        <f t="shared" si="0"/>
        <v>9.649999999999999</v>
      </c>
      <c r="H15" s="130">
        <v>3</v>
      </c>
      <c r="I15" s="129">
        <f>10-2.5</f>
        <v>7.5</v>
      </c>
      <c r="J15" s="42">
        <f t="shared" si="1"/>
        <v>10.5</v>
      </c>
      <c r="K15" s="177">
        <f t="shared" si="2"/>
        <v>20.15</v>
      </c>
    </row>
    <row r="16" spans="1:11" ht="15.75">
      <c r="A16" s="186">
        <v>13</v>
      </c>
      <c r="B16" s="136" t="s">
        <v>183</v>
      </c>
      <c r="C16" s="194" t="s">
        <v>31</v>
      </c>
      <c r="D16" s="146">
        <v>2007</v>
      </c>
      <c r="E16" s="128">
        <v>2.8</v>
      </c>
      <c r="F16" s="129">
        <f>10-3.35</f>
        <v>6.65</v>
      </c>
      <c r="G16" s="42">
        <f t="shared" si="0"/>
        <v>9.45</v>
      </c>
      <c r="H16" s="130">
        <v>2.9</v>
      </c>
      <c r="I16" s="129">
        <f>10-2.25</f>
        <v>7.75</v>
      </c>
      <c r="J16" s="42">
        <f t="shared" si="1"/>
        <v>10.65</v>
      </c>
      <c r="K16" s="177">
        <f t="shared" si="2"/>
        <v>20.1</v>
      </c>
    </row>
    <row r="17" spans="1:11" ht="16.5" thickBot="1">
      <c r="A17" s="57">
        <v>14</v>
      </c>
      <c r="B17" s="56" t="s">
        <v>187</v>
      </c>
      <c r="C17" s="195" t="s">
        <v>31</v>
      </c>
      <c r="D17" s="145">
        <v>2007</v>
      </c>
      <c r="E17" s="58">
        <v>2.8</v>
      </c>
      <c r="F17" s="74">
        <f>10-3.3</f>
        <v>6.7</v>
      </c>
      <c r="G17" s="49">
        <f t="shared" si="0"/>
        <v>9.5</v>
      </c>
      <c r="H17" s="79">
        <v>2.8</v>
      </c>
      <c r="I17" s="74">
        <f>10-2.8</f>
        <v>7.2</v>
      </c>
      <c r="J17" s="49">
        <f t="shared" si="1"/>
        <v>10</v>
      </c>
      <c r="K17" s="178">
        <f t="shared" si="2"/>
        <v>19.5</v>
      </c>
    </row>
    <row r="18" ht="15">
      <c r="A18" s="147"/>
    </row>
  </sheetData>
  <sheetProtection/>
  <mergeCells count="7">
    <mergeCell ref="K2:K3"/>
    <mergeCell ref="A2:A3"/>
    <mergeCell ref="B2:B3"/>
    <mergeCell ref="C2:C3"/>
    <mergeCell ref="D2:D3"/>
    <mergeCell ref="E2:G2"/>
    <mergeCell ref="H2:J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&amp;C5. ROČNÍK "POHÁDKOVÉHO ZÁVODU" 22.4.2018 V JIČÍNĚ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7">
    <tabColor rgb="FF00B050"/>
    <pageSetUpPr fitToPage="1"/>
  </sheetPr>
  <dimension ref="A1:M65"/>
  <sheetViews>
    <sheetView zoomScalePageLayoutView="0" workbookViewId="0" topLeftCell="A1">
      <selection activeCell="O12" sqref="O12"/>
    </sheetView>
  </sheetViews>
  <sheetFormatPr defaultColWidth="9.00390625" defaultRowHeight="12.75"/>
  <cols>
    <col min="1" max="1" width="4.25390625" style="14" customWidth="1"/>
    <col min="2" max="2" width="22.125" style="8" customWidth="1"/>
    <col min="3" max="3" width="29.75390625" style="8" customWidth="1"/>
    <col min="4" max="4" width="6.375" style="3" bestFit="1" customWidth="1"/>
    <col min="5" max="10" width="11.00390625" style="8" customWidth="1"/>
    <col min="11" max="11" width="11.00390625" style="2" customWidth="1"/>
    <col min="12" max="16384" width="9.125" style="8" customWidth="1"/>
  </cols>
  <sheetData>
    <row r="1" spans="1:11" s="24" customFormat="1" ht="18.75" thickBot="1">
      <c r="A1" s="17" t="s">
        <v>165</v>
      </c>
      <c r="D1" s="25"/>
      <c r="E1" s="20"/>
      <c r="F1" s="22"/>
      <c r="G1" s="20"/>
      <c r="H1" s="22"/>
      <c r="I1" s="20"/>
      <c r="J1" s="22"/>
      <c r="K1" s="20"/>
    </row>
    <row r="2" spans="1:11" s="26" customFormat="1" ht="16.5" thickBot="1">
      <c r="A2" s="276"/>
      <c r="B2" s="261" t="s">
        <v>57</v>
      </c>
      <c r="C2" s="280" t="s">
        <v>0</v>
      </c>
      <c r="D2" s="284" t="s">
        <v>3</v>
      </c>
      <c r="E2" s="268" t="s">
        <v>1</v>
      </c>
      <c r="F2" s="267"/>
      <c r="G2" s="269"/>
      <c r="H2" s="268" t="s">
        <v>5</v>
      </c>
      <c r="I2" s="267"/>
      <c r="J2" s="269"/>
      <c r="K2" s="282" t="s">
        <v>2</v>
      </c>
    </row>
    <row r="3" spans="1:11" s="26" customFormat="1" ht="30.75" thickBot="1">
      <c r="A3" s="277"/>
      <c r="B3" s="275"/>
      <c r="C3" s="288"/>
      <c r="D3" s="289"/>
      <c r="E3" s="70" t="s">
        <v>6</v>
      </c>
      <c r="F3" s="100" t="s">
        <v>7</v>
      </c>
      <c r="G3" s="101" t="s">
        <v>10</v>
      </c>
      <c r="H3" s="70" t="s">
        <v>6</v>
      </c>
      <c r="I3" s="100" t="s">
        <v>7</v>
      </c>
      <c r="J3" s="101" t="s">
        <v>9</v>
      </c>
      <c r="K3" s="287"/>
    </row>
    <row r="4" spans="1:13" s="26" customFormat="1" ht="15.75">
      <c r="A4" s="156">
        <v>1</v>
      </c>
      <c r="B4" s="248" t="s">
        <v>16</v>
      </c>
      <c r="C4" s="211" t="s">
        <v>13</v>
      </c>
      <c r="D4" s="180">
        <v>2004</v>
      </c>
      <c r="E4" s="214">
        <v>3</v>
      </c>
      <c r="F4" s="182">
        <f>10-1.4</f>
        <v>8.6</v>
      </c>
      <c r="G4" s="103">
        <f aca="true" t="shared" si="0" ref="G4:G14">E4+F4</f>
        <v>11.6</v>
      </c>
      <c r="H4" s="181">
        <v>3</v>
      </c>
      <c r="I4" s="182">
        <f>10-1.3</f>
        <v>8.7</v>
      </c>
      <c r="J4" s="103">
        <f aca="true" t="shared" si="1" ref="J4:J14">H4+I4</f>
        <v>11.7</v>
      </c>
      <c r="K4" s="184">
        <f aca="true" t="shared" si="2" ref="K4:K14">G4+J4</f>
        <v>23.299999999999997</v>
      </c>
      <c r="M4" s="118"/>
    </row>
    <row r="5" spans="1:13" s="26" customFormat="1" ht="15.75">
      <c r="A5" s="80">
        <v>2</v>
      </c>
      <c r="B5" s="212" t="s">
        <v>171</v>
      </c>
      <c r="C5" s="193" t="s">
        <v>25</v>
      </c>
      <c r="D5" s="81">
        <v>2003</v>
      </c>
      <c r="E5" s="215">
        <v>2.8</v>
      </c>
      <c r="F5" s="116">
        <f>10-1.8</f>
        <v>8.2</v>
      </c>
      <c r="G5" s="105">
        <f t="shared" si="0"/>
        <v>11</v>
      </c>
      <c r="H5" s="133">
        <v>3.2</v>
      </c>
      <c r="I5" s="116">
        <f>10-1.2</f>
        <v>8.8</v>
      </c>
      <c r="J5" s="105">
        <f t="shared" si="1"/>
        <v>12</v>
      </c>
      <c r="K5" s="185">
        <f t="shared" si="2"/>
        <v>23</v>
      </c>
      <c r="M5" s="118"/>
    </row>
    <row r="6" spans="1:13" s="26" customFormat="1" ht="15.75">
      <c r="A6" s="80">
        <v>3</v>
      </c>
      <c r="B6" s="212" t="s">
        <v>68</v>
      </c>
      <c r="C6" s="193" t="s">
        <v>25</v>
      </c>
      <c r="D6" s="81">
        <v>2005</v>
      </c>
      <c r="E6" s="215">
        <v>3.2</v>
      </c>
      <c r="F6" s="116">
        <f>10-1.95</f>
        <v>8.05</v>
      </c>
      <c r="G6" s="105">
        <f t="shared" si="0"/>
        <v>11.25</v>
      </c>
      <c r="H6" s="133">
        <v>3</v>
      </c>
      <c r="I6" s="116">
        <f>10-1.55</f>
        <v>8.45</v>
      </c>
      <c r="J6" s="105">
        <f t="shared" si="1"/>
        <v>11.45</v>
      </c>
      <c r="K6" s="185">
        <f t="shared" si="2"/>
        <v>22.7</v>
      </c>
      <c r="M6" s="118"/>
    </row>
    <row r="7" spans="1:13" s="26" customFormat="1" ht="15.75">
      <c r="A7" s="80">
        <v>4</v>
      </c>
      <c r="B7" s="212" t="s">
        <v>69</v>
      </c>
      <c r="C7" s="238" t="s">
        <v>25</v>
      </c>
      <c r="D7" s="81">
        <v>2004</v>
      </c>
      <c r="E7" s="215">
        <v>3</v>
      </c>
      <c r="F7" s="116">
        <f>10-2.9</f>
        <v>7.1</v>
      </c>
      <c r="G7" s="105">
        <f t="shared" si="0"/>
        <v>10.1</v>
      </c>
      <c r="H7" s="133">
        <v>3</v>
      </c>
      <c r="I7" s="116">
        <f>10-1.25</f>
        <v>8.75</v>
      </c>
      <c r="J7" s="105">
        <f t="shared" si="1"/>
        <v>11.75</v>
      </c>
      <c r="K7" s="185">
        <f t="shared" si="2"/>
        <v>21.85</v>
      </c>
      <c r="M7" s="118"/>
    </row>
    <row r="8" spans="1:13" s="26" customFormat="1" ht="15.75">
      <c r="A8" s="80">
        <v>5</v>
      </c>
      <c r="B8" s="212" t="s">
        <v>170</v>
      </c>
      <c r="C8" s="193" t="s">
        <v>25</v>
      </c>
      <c r="D8" s="82">
        <v>2005</v>
      </c>
      <c r="E8" s="215">
        <v>2.8</v>
      </c>
      <c r="F8" s="116">
        <f>10-2.25</f>
        <v>7.75</v>
      </c>
      <c r="G8" s="105">
        <f>E8+F8</f>
        <v>10.55</v>
      </c>
      <c r="H8" s="133">
        <v>3.3</v>
      </c>
      <c r="I8" s="116">
        <f>10-2.2</f>
        <v>7.8</v>
      </c>
      <c r="J8" s="105">
        <f>H8+I8</f>
        <v>11.1</v>
      </c>
      <c r="K8" s="185">
        <f>G8+J8</f>
        <v>21.65</v>
      </c>
      <c r="M8" s="118"/>
    </row>
    <row r="9" spans="1:13" s="26" customFormat="1" ht="15.75">
      <c r="A9" s="80">
        <v>6</v>
      </c>
      <c r="B9" s="53" t="s">
        <v>50</v>
      </c>
      <c r="C9" s="46" t="s">
        <v>23</v>
      </c>
      <c r="D9" s="81">
        <v>2005</v>
      </c>
      <c r="E9" s="215">
        <v>3</v>
      </c>
      <c r="F9" s="116">
        <f>10-2.95</f>
        <v>7.05</v>
      </c>
      <c r="G9" s="105">
        <f>E9+F9</f>
        <v>10.05</v>
      </c>
      <c r="H9" s="133">
        <v>3</v>
      </c>
      <c r="I9" s="116">
        <f>10-1.4</f>
        <v>8.6</v>
      </c>
      <c r="J9" s="105">
        <f>H9+I9</f>
        <v>11.6</v>
      </c>
      <c r="K9" s="185">
        <f>G9+J9</f>
        <v>21.65</v>
      </c>
      <c r="M9" s="118"/>
    </row>
    <row r="10" spans="1:13" s="26" customFormat="1" ht="15.75">
      <c r="A10" s="80">
        <v>7</v>
      </c>
      <c r="B10" s="212" t="s">
        <v>79</v>
      </c>
      <c r="C10" s="192" t="s">
        <v>42</v>
      </c>
      <c r="D10" s="81">
        <v>2005</v>
      </c>
      <c r="E10" s="215">
        <v>3.1</v>
      </c>
      <c r="F10" s="116">
        <f>10-2.85</f>
        <v>7.15</v>
      </c>
      <c r="G10" s="105">
        <f t="shared" si="0"/>
        <v>10.25</v>
      </c>
      <c r="H10" s="133">
        <v>3.3</v>
      </c>
      <c r="I10" s="116">
        <f>10-2.05</f>
        <v>7.95</v>
      </c>
      <c r="J10" s="105">
        <f t="shared" si="1"/>
        <v>11.25</v>
      </c>
      <c r="K10" s="185">
        <f t="shared" si="2"/>
        <v>21.5</v>
      </c>
      <c r="M10" s="118"/>
    </row>
    <row r="11" spans="1:13" s="26" customFormat="1" ht="15.75">
      <c r="A11" s="80">
        <v>8</v>
      </c>
      <c r="B11" s="212" t="s">
        <v>21</v>
      </c>
      <c r="C11" s="213" t="s">
        <v>20</v>
      </c>
      <c r="D11" s="80">
        <v>2004</v>
      </c>
      <c r="E11" s="215">
        <v>3.1</v>
      </c>
      <c r="F11" s="116">
        <f>10-2.35</f>
        <v>7.65</v>
      </c>
      <c r="G11" s="105">
        <f t="shared" si="0"/>
        <v>10.75</v>
      </c>
      <c r="H11" s="133">
        <v>3.1</v>
      </c>
      <c r="I11" s="116">
        <f>10-2.6</f>
        <v>7.4</v>
      </c>
      <c r="J11" s="105">
        <f t="shared" si="1"/>
        <v>10.5</v>
      </c>
      <c r="K11" s="185">
        <f t="shared" si="2"/>
        <v>21.25</v>
      </c>
      <c r="M11" s="118"/>
    </row>
    <row r="12" spans="1:13" s="26" customFormat="1" ht="15.75">
      <c r="A12" s="80">
        <v>9</v>
      </c>
      <c r="B12" s="53" t="s">
        <v>101</v>
      </c>
      <c r="C12" s="192" t="s">
        <v>12</v>
      </c>
      <c r="D12" s="54">
        <v>2005</v>
      </c>
      <c r="E12" s="215">
        <v>3.2</v>
      </c>
      <c r="F12" s="116">
        <f>10-3.15</f>
        <v>6.85</v>
      </c>
      <c r="G12" s="105">
        <f>E12+F12</f>
        <v>10.05</v>
      </c>
      <c r="H12" s="133">
        <v>3</v>
      </c>
      <c r="I12" s="116">
        <f>10-2.45</f>
        <v>7.55</v>
      </c>
      <c r="J12" s="105">
        <f>H12+I12</f>
        <v>10.55</v>
      </c>
      <c r="K12" s="185">
        <f>G12+J12</f>
        <v>20.6</v>
      </c>
      <c r="M12" s="118"/>
    </row>
    <row r="13" spans="1:13" s="26" customFormat="1" ht="15.75">
      <c r="A13" s="80">
        <v>10</v>
      </c>
      <c r="B13" s="53" t="s">
        <v>90</v>
      </c>
      <c r="C13" s="192" t="s">
        <v>13</v>
      </c>
      <c r="D13" s="81">
        <v>2005</v>
      </c>
      <c r="E13" s="104">
        <v>3</v>
      </c>
      <c r="F13" s="155">
        <f>10-3.4</f>
        <v>6.6</v>
      </c>
      <c r="G13" s="183">
        <f>E13+F13</f>
        <v>9.6</v>
      </c>
      <c r="H13" s="154">
        <v>3.1</v>
      </c>
      <c r="I13" s="155">
        <f>10-2.1</f>
        <v>7.9</v>
      </c>
      <c r="J13" s="183">
        <f>H13+I13</f>
        <v>11</v>
      </c>
      <c r="K13" s="185">
        <f>G13+J13</f>
        <v>20.6</v>
      </c>
      <c r="M13" s="118"/>
    </row>
    <row r="14" spans="1:13" s="26" customFormat="1" ht="16.5" thickBot="1">
      <c r="A14" s="115">
        <v>11</v>
      </c>
      <c r="B14" s="246" t="s">
        <v>22</v>
      </c>
      <c r="C14" s="249" t="s">
        <v>20</v>
      </c>
      <c r="D14" s="247">
        <v>2003</v>
      </c>
      <c r="E14" s="216">
        <v>3.1</v>
      </c>
      <c r="F14" s="217">
        <f>10-3.5</f>
        <v>6.5</v>
      </c>
      <c r="G14" s="198">
        <f t="shared" si="0"/>
        <v>9.6</v>
      </c>
      <c r="H14" s="218">
        <v>3.1</v>
      </c>
      <c r="I14" s="217">
        <f>10-2.2</f>
        <v>7.8</v>
      </c>
      <c r="J14" s="198">
        <f t="shared" si="1"/>
        <v>10.9</v>
      </c>
      <c r="K14" s="219">
        <f t="shared" si="2"/>
        <v>20.5</v>
      </c>
      <c r="M14" s="118"/>
    </row>
    <row r="15" spans="1:11" s="26" customFormat="1" ht="15.75">
      <c r="A15" s="59"/>
      <c r="D15" s="50"/>
      <c r="E15" s="75"/>
      <c r="F15" s="75"/>
      <c r="G15" s="19"/>
      <c r="H15" s="75"/>
      <c r="I15" s="75"/>
      <c r="J15" s="19"/>
      <c r="K15" s="19"/>
    </row>
    <row r="16" spans="1:11" s="26" customFormat="1" ht="15.75">
      <c r="A16" s="118"/>
      <c r="D16" s="50"/>
      <c r="E16" s="75"/>
      <c r="F16" s="75"/>
      <c r="G16" s="19"/>
      <c r="H16" s="75"/>
      <c r="I16" s="75"/>
      <c r="J16" s="19"/>
      <c r="K16" s="19"/>
    </row>
    <row r="17" spans="1:11" s="26" customFormat="1" ht="15.75">
      <c r="A17" s="118"/>
      <c r="D17" s="50"/>
      <c r="E17" s="75"/>
      <c r="F17" s="75"/>
      <c r="G17" s="19"/>
      <c r="H17" s="75"/>
      <c r="I17" s="75"/>
      <c r="J17" s="19"/>
      <c r="K17" s="19"/>
    </row>
    <row r="18" spans="1:11" s="26" customFormat="1" ht="15.75">
      <c r="A18" s="59"/>
      <c r="D18" s="50"/>
      <c r="E18" s="75"/>
      <c r="F18" s="75"/>
      <c r="G18" s="19"/>
      <c r="H18" s="75"/>
      <c r="I18" s="75"/>
      <c r="J18" s="19"/>
      <c r="K18" s="19"/>
    </row>
    <row r="19" spans="1:11" s="26" customFormat="1" ht="15.75">
      <c r="A19" s="59"/>
      <c r="D19" s="50"/>
      <c r="E19" s="75"/>
      <c r="F19" s="75"/>
      <c r="G19" s="19"/>
      <c r="H19" s="75"/>
      <c r="I19" s="75"/>
      <c r="J19" s="19"/>
      <c r="K19" s="19"/>
    </row>
    <row r="20" spans="1:11" s="26" customFormat="1" ht="15.75">
      <c r="A20" s="59"/>
      <c r="D20" s="50"/>
      <c r="E20" s="75"/>
      <c r="F20" s="75"/>
      <c r="G20" s="19"/>
      <c r="H20" s="75"/>
      <c r="I20" s="75"/>
      <c r="J20" s="19"/>
      <c r="K20" s="19"/>
    </row>
    <row r="21" spans="1:11" s="26" customFormat="1" ht="15.75">
      <c r="A21" s="59"/>
      <c r="D21" s="50"/>
      <c r="E21" s="75"/>
      <c r="F21" s="75"/>
      <c r="G21" s="19"/>
      <c r="H21" s="75"/>
      <c r="I21" s="75"/>
      <c r="J21" s="19"/>
      <c r="K21" s="19"/>
    </row>
    <row r="22" spans="7:10" ht="12.75">
      <c r="G22" s="2"/>
      <c r="J22" s="2"/>
    </row>
    <row r="23" spans="7:10" ht="12.75">
      <c r="G23" s="2"/>
      <c r="J23" s="2"/>
    </row>
    <row r="24" spans="7:10" ht="12.75">
      <c r="G24" s="2"/>
      <c r="J24" s="2"/>
    </row>
    <row r="25" spans="7:10" ht="12.75">
      <c r="G25" s="2"/>
      <c r="J25" s="2"/>
    </row>
    <row r="26" spans="7:10" ht="12.75">
      <c r="G26" s="2"/>
      <c r="J26" s="2"/>
    </row>
    <row r="27" spans="7:10" ht="12.75">
      <c r="G27" s="2"/>
      <c r="J27" s="2"/>
    </row>
    <row r="28" spans="7:10" ht="12.75">
      <c r="G28" s="2"/>
      <c r="J28" s="2"/>
    </row>
    <row r="29" spans="7:10" ht="12.75">
      <c r="G29" s="2"/>
      <c r="J29" s="2"/>
    </row>
    <row r="30" spans="7:10" ht="12.75">
      <c r="G30" s="2"/>
      <c r="J30" s="2"/>
    </row>
    <row r="31" spans="7:10" ht="12.75">
      <c r="G31" s="2"/>
      <c r="J31" s="2"/>
    </row>
    <row r="32" spans="7:10" ht="12.75">
      <c r="G32" s="2"/>
      <c r="J32" s="2"/>
    </row>
    <row r="33" spans="7:10" ht="12.75">
      <c r="G33" s="2"/>
      <c r="J33" s="2"/>
    </row>
    <row r="34" spans="7:10" ht="12.75">
      <c r="G34" s="2"/>
      <c r="J34" s="2"/>
    </row>
    <row r="35" spans="7:10" ht="12.75">
      <c r="G35" s="2"/>
      <c r="J35" s="2"/>
    </row>
    <row r="36" spans="7:10" ht="12.75">
      <c r="G36" s="2"/>
      <c r="J36" s="2"/>
    </row>
    <row r="37" spans="7:10" ht="12.75">
      <c r="G37" s="2"/>
      <c r="J37" s="2"/>
    </row>
    <row r="38" spans="7:10" ht="12.75">
      <c r="G38" s="2"/>
      <c r="J38" s="2"/>
    </row>
    <row r="39" spans="7:10" ht="12.75">
      <c r="G39" s="2"/>
      <c r="J39" s="2"/>
    </row>
    <row r="40" spans="7:10" ht="12.75">
      <c r="G40" s="2"/>
      <c r="J40" s="2"/>
    </row>
    <row r="41" spans="7:10" ht="12.75">
      <c r="G41" s="2"/>
      <c r="J41" s="2"/>
    </row>
    <row r="44" spans="1:11" s="28" customFormat="1" ht="15">
      <c r="A44" s="29"/>
      <c r="D44" s="30"/>
      <c r="K44" s="40"/>
    </row>
    <row r="45" spans="1:11" s="28" customFormat="1" ht="15">
      <c r="A45" s="29"/>
      <c r="D45" s="30"/>
      <c r="K45" s="40"/>
    </row>
    <row r="46" spans="1:11" s="28" customFormat="1" ht="15">
      <c r="A46" s="29"/>
      <c r="D46" s="30"/>
      <c r="K46" s="40"/>
    </row>
    <row r="47" spans="1:11" s="28" customFormat="1" ht="15">
      <c r="A47" s="29"/>
      <c r="D47" s="30"/>
      <c r="K47" s="40"/>
    </row>
    <row r="48" spans="1:11" s="28" customFormat="1" ht="15">
      <c r="A48" s="29"/>
      <c r="D48" s="30"/>
      <c r="K48" s="40"/>
    </row>
    <row r="49" spans="1:11" s="28" customFormat="1" ht="15">
      <c r="A49" s="29"/>
      <c r="D49" s="30"/>
      <c r="K49" s="40"/>
    </row>
    <row r="50" spans="1:11" s="28" customFormat="1" ht="15">
      <c r="A50" s="29"/>
      <c r="D50" s="30"/>
      <c r="K50" s="40"/>
    </row>
    <row r="51" spans="1:11" s="28" customFormat="1" ht="15">
      <c r="A51" s="29"/>
      <c r="D51" s="30"/>
      <c r="K51" s="40"/>
    </row>
    <row r="52" spans="1:11" s="28" customFormat="1" ht="15">
      <c r="A52" s="29"/>
      <c r="D52" s="30"/>
      <c r="K52" s="40"/>
    </row>
    <row r="53" spans="1:11" s="28" customFormat="1" ht="15">
      <c r="A53" s="29"/>
      <c r="D53" s="30"/>
      <c r="K53" s="40"/>
    </row>
    <row r="54" spans="1:11" s="28" customFormat="1" ht="15">
      <c r="A54" s="29"/>
      <c r="D54" s="30"/>
      <c r="K54" s="40"/>
    </row>
    <row r="55" spans="1:11" s="28" customFormat="1" ht="15">
      <c r="A55" s="29"/>
      <c r="D55" s="30"/>
      <c r="K55" s="40"/>
    </row>
    <row r="56" spans="1:11" s="28" customFormat="1" ht="15">
      <c r="A56" s="29"/>
      <c r="D56" s="30"/>
      <c r="K56" s="40"/>
    </row>
    <row r="57" spans="1:11" s="28" customFormat="1" ht="15">
      <c r="A57" s="29"/>
      <c r="D57" s="30"/>
      <c r="K57" s="40"/>
    </row>
    <row r="58" spans="1:11" s="28" customFormat="1" ht="15">
      <c r="A58" s="29"/>
      <c r="D58" s="30"/>
      <c r="K58" s="40"/>
    </row>
    <row r="59" spans="1:11" s="28" customFormat="1" ht="15">
      <c r="A59" s="29"/>
      <c r="D59" s="30"/>
      <c r="K59" s="40"/>
    </row>
    <row r="60" spans="1:11" s="28" customFormat="1" ht="15">
      <c r="A60" s="29"/>
      <c r="D60" s="30"/>
      <c r="K60" s="40"/>
    </row>
    <row r="61" spans="1:11" s="28" customFormat="1" ht="15">
      <c r="A61" s="29"/>
      <c r="D61" s="30"/>
      <c r="K61" s="40"/>
    </row>
    <row r="62" spans="1:11" s="28" customFormat="1" ht="15">
      <c r="A62" s="29"/>
      <c r="D62" s="30"/>
      <c r="K62" s="40"/>
    </row>
    <row r="63" spans="1:11" s="28" customFormat="1" ht="15">
      <c r="A63" s="29"/>
      <c r="D63" s="30"/>
      <c r="K63" s="40"/>
    </row>
    <row r="64" spans="1:11" s="28" customFormat="1" ht="15">
      <c r="A64" s="29"/>
      <c r="D64" s="30"/>
      <c r="K64" s="40"/>
    </row>
    <row r="65" spans="1:11" s="28" customFormat="1" ht="15">
      <c r="A65" s="29"/>
      <c r="D65" s="30"/>
      <c r="K65" s="40"/>
    </row>
  </sheetData>
  <sheetProtection/>
  <mergeCells count="7">
    <mergeCell ref="K2:K3"/>
    <mergeCell ref="A2:A3"/>
    <mergeCell ref="B2:B3"/>
    <mergeCell ref="C2:C3"/>
    <mergeCell ref="D2:D3"/>
    <mergeCell ref="E2:G2"/>
    <mergeCell ref="H2:J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5" r:id="rId1"/>
  <headerFooter>
    <oddHeader>&amp;C5. ROČNÍK "POHÁDKOVÉHO ZÁVODU" 22.4.2018 V JIČÍNĚ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6.00390625" style="139" bestFit="1" customWidth="1"/>
    <col min="2" max="2" width="30.625" style="139" bestFit="1" customWidth="1"/>
    <col min="3" max="3" width="6.375" style="139" bestFit="1" customWidth="1"/>
    <col min="4" max="4" width="9.375" style="0" bestFit="1" customWidth="1"/>
  </cols>
  <sheetData>
    <row r="1" spans="1:9" ht="12.75">
      <c r="A1" s="220" t="s">
        <v>104</v>
      </c>
      <c r="B1" s="220" t="s">
        <v>0</v>
      </c>
      <c r="C1" s="221" t="s">
        <v>105</v>
      </c>
      <c r="D1" s="148" t="s">
        <v>106</v>
      </c>
      <c r="F1" s="149" t="s">
        <v>107</v>
      </c>
      <c r="G1" s="150"/>
      <c r="H1" s="150"/>
      <c r="I1" s="150"/>
    </row>
    <row r="2" spans="1:3" ht="15">
      <c r="A2" s="222" t="s">
        <v>79</v>
      </c>
      <c r="B2" s="223" t="s">
        <v>42</v>
      </c>
      <c r="C2" s="224">
        <v>2005</v>
      </c>
    </row>
    <row r="3" spans="1:3" ht="15">
      <c r="A3" s="225" t="s">
        <v>50</v>
      </c>
      <c r="B3" s="226" t="s">
        <v>23</v>
      </c>
      <c r="C3" s="227">
        <v>2005</v>
      </c>
    </row>
    <row r="4" spans="1:3" ht="15">
      <c r="A4" s="228" t="s">
        <v>16</v>
      </c>
      <c r="B4" s="223" t="s">
        <v>13</v>
      </c>
      <c r="C4" s="224">
        <v>2004</v>
      </c>
    </row>
    <row r="5" spans="1:3" ht="15">
      <c r="A5" s="225" t="s">
        <v>90</v>
      </c>
      <c r="B5" s="223" t="s">
        <v>13</v>
      </c>
      <c r="C5" s="227">
        <v>2005</v>
      </c>
    </row>
    <row r="6" spans="1:3" ht="15">
      <c r="A6" s="222" t="s">
        <v>21</v>
      </c>
      <c r="B6" s="228" t="s">
        <v>20</v>
      </c>
      <c r="C6" s="229">
        <v>2004</v>
      </c>
    </row>
    <row r="7" spans="1:3" ht="15">
      <c r="A7" s="222" t="s">
        <v>22</v>
      </c>
      <c r="B7" s="228" t="s">
        <v>20</v>
      </c>
      <c r="C7" s="224">
        <v>2003</v>
      </c>
    </row>
    <row r="8" spans="1:3" ht="15">
      <c r="A8" s="222" t="s">
        <v>101</v>
      </c>
      <c r="B8" s="228" t="s">
        <v>12</v>
      </c>
      <c r="C8" s="224">
        <v>2005</v>
      </c>
    </row>
    <row r="9" spans="1:3" ht="15">
      <c r="A9" s="222" t="s">
        <v>68</v>
      </c>
      <c r="B9" s="230" t="s">
        <v>25</v>
      </c>
      <c r="C9" s="224">
        <v>2005</v>
      </c>
    </row>
    <row r="10" spans="1:3" ht="15">
      <c r="A10" s="222" t="s">
        <v>170</v>
      </c>
      <c r="B10" s="230" t="s">
        <v>25</v>
      </c>
      <c r="C10" s="224">
        <v>2005</v>
      </c>
    </row>
    <row r="11" spans="1:3" ht="15">
      <c r="A11" s="222" t="s">
        <v>69</v>
      </c>
      <c r="B11" s="230" t="s">
        <v>25</v>
      </c>
      <c r="C11" s="224">
        <v>2004</v>
      </c>
    </row>
    <row r="12" spans="1:3" ht="15">
      <c r="A12" s="222" t="s">
        <v>171</v>
      </c>
      <c r="B12" s="230" t="s">
        <v>25</v>
      </c>
      <c r="C12" s="224">
        <v>2003</v>
      </c>
    </row>
    <row r="13" spans="1:3" ht="15">
      <c r="A13" s="225" t="s">
        <v>160</v>
      </c>
      <c r="B13" s="226" t="s">
        <v>23</v>
      </c>
      <c r="C13" s="231">
        <v>2007</v>
      </c>
    </row>
    <row r="14" spans="1:3" ht="15">
      <c r="A14" s="225" t="s">
        <v>161</v>
      </c>
      <c r="B14" s="223" t="s">
        <v>13</v>
      </c>
      <c r="C14" s="231">
        <v>2007</v>
      </c>
    </row>
    <row r="15" spans="1:3" ht="15">
      <c r="A15" s="225" t="s">
        <v>87</v>
      </c>
      <c r="B15" s="223" t="s">
        <v>13</v>
      </c>
      <c r="C15" s="231">
        <v>2007</v>
      </c>
    </row>
    <row r="16" spans="1:3" ht="15">
      <c r="A16" s="225" t="s">
        <v>89</v>
      </c>
      <c r="B16" s="223" t="s">
        <v>13</v>
      </c>
      <c r="C16" s="231">
        <v>2007</v>
      </c>
    </row>
    <row r="17" spans="1:3" ht="15">
      <c r="A17" s="225" t="s">
        <v>88</v>
      </c>
      <c r="B17" s="223" t="s">
        <v>13</v>
      </c>
      <c r="C17" s="231">
        <v>2007</v>
      </c>
    </row>
    <row r="18" spans="1:3" ht="15">
      <c r="A18" s="225" t="s">
        <v>52</v>
      </c>
      <c r="B18" s="223" t="s">
        <v>42</v>
      </c>
      <c r="C18" s="231">
        <v>2006</v>
      </c>
    </row>
    <row r="19" spans="1:3" ht="15">
      <c r="A19" s="225" t="s">
        <v>53</v>
      </c>
      <c r="B19" s="223" t="s">
        <v>42</v>
      </c>
      <c r="C19" s="231">
        <v>2006</v>
      </c>
    </row>
    <row r="20" spans="1:3" ht="15">
      <c r="A20" s="225" t="s">
        <v>81</v>
      </c>
      <c r="B20" s="223" t="s">
        <v>42</v>
      </c>
      <c r="C20" s="231">
        <v>2007</v>
      </c>
    </row>
    <row r="21" spans="1:3" ht="15">
      <c r="A21" s="225" t="s">
        <v>80</v>
      </c>
      <c r="B21" s="223" t="s">
        <v>42</v>
      </c>
      <c r="C21" s="231">
        <v>2007</v>
      </c>
    </row>
    <row r="22" spans="1:3" ht="15">
      <c r="A22" s="225" t="s">
        <v>169</v>
      </c>
      <c r="B22" s="230" t="s">
        <v>25</v>
      </c>
      <c r="C22" s="231">
        <v>2006</v>
      </c>
    </row>
    <row r="23" spans="1:3" ht="15">
      <c r="A23" s="225" t="s">
        <v>67</v>
      </c>
      <c r="B23" s="230" t="s">
        <v>25</v>
      </c>
      <c r="C23" s="231">
        <v>2007</v>
      </c>
    </row>
    <row r="24" spans="1:3" ht="15">
      <c r="A24" s="225" t="s">
        <v>183</v>
      </c>
      <c r="B24" s="230" t="s">
        <v>31</v>
      </c>
      <c r="C24" s="231">
        <v>2007</v>
      </c>
    </row>
    <row r="25" spans="1:3" ht="15">
      <c r="A25" s="225" t="s">
        <v>184</v>
      </c>
      <c r="B25" s="230" t="s">
        <v>31</v>
      </c>
      <c r="C25" s="231">
        <v>2007</v>
      </c>
    </row>
    <row r="26" spans="1:3" ht="15">
      <c r="A26" s="225" t="s">
        <v>185</v>
      </c>
      <c r="B26" s="230" t="s">
        <v>31</v>
      </c>
      <c r="C26" s="231">
        <v>2007</v>
      </c>
    </row>
    <row r="27" spans="1:3" ht="15">
      <c r="A27" s="225" t="s">
        <v>186</v>
      </c>
      <c r="B27" s="230" t="s">
        <v>31</v>
      </c>
      <c r="C27" s="231">
        <v>2006</v>
      </c>
    </row>
    <row r="28" spans="1:3" ht="15">
      <c r="A28" s="225" t="s">
        <v>187</v>
      </c>
      <c r="B28" s="230" t="s">
        <v>31</v>
      </c>
      <c r="C28" s="231">
        <v>2006</v>
      </c>
    </row>
    <row r="29" spans="1:3" ht="15">
      <c r="A29" s="225" t="s">
        <v>85</v>
      </c>
      <c r="B29" s="223" t="s">
        <v>13</v>
      </c>
      <c r="C29" s="231">
        <v>2008</v>
      </c>
    </row>
    <row r="30" spans="1:3" ht="15">
      <c r="A30" s="225" t="s">
        <v>162</v>
      </c>
      <c r="B30" s="223" t="s">
        <v>32</v>
      </c>
      <c r="C30" s="231">
        <v>2008</v>
      </c>
    </row>
    <row r="31" spans="1:3" ht="15">
      <c r="A31" s="225" t="s">
        <v>163</v>
      </c>
      <c r="B31" s="223" t="s">
        <v>32</v>
      </c>
      <c r="C31" s="231">
        <v>2008</v>
      </c>
    </row>
    <row r="32" spans="1:3" ht="15">
      <c r="A32" s="225" t="s">
        <v>164</v>
      </c>
      <c r="B32" s="223" t="s">
        <v>20</v>
      </c>
      <c r="C32" s="231">
        <v>2008</v>
      </c>
    </row>
    <row r="33" spans="1:3" ht="15">
      <c r="A33" s="225" t="s">
        <v>103</v>
      </c>
      <c r="B33" s="223" t="s">
        <v>20</v>
      </c>
      <c r="C33" s="231">
        <v>2008</v>
      </c>
    </row>
    <row r="34" spans="1:3" ht="15">
      <c r="A34" s="225" t="s">
        <v>77</v>
      </c>
      <c r="B34" s="223" t="s">
        <v>42</v>
      </c>
      <c r="C34" s="231">
        <v>2008</v>
      </c>
    </row>
    <row r="35" spans="1:3" ht="15">
      <c r="A35" s="225" t="s">
        <v>76</v>
      </c>
      <c r="B35" s="223" t="s">
        <v>42</v>
      </c>
      <c r="C35" s="231">
        <v>2008</v>
      </c>
    </row>
    <row r="36" spans="1:3" ht="15">
      <c r="A36" s="225" t="s">
        <v>181</v>
      </c>
      <c r="B36" s="226" t="s">
        <v>31</v>
      </c>
      <c r="C36" s="231">
        <v>2008</v>
      </c>
    </row>
    <row r="37" spans="1:3" ht="15">
      <c r="A37" s="225" t="s">
        <v>182</v>
      </c>
      <c r="B37" s="226" t="s">
        <v>31</v>
      </c>
      <c r="C37" s="231">
        <v>2008</v>
      </c>
    </row>
    <row r="38" spans="1:3" ht="15">
      <c r="A38" s="225" t="s">
        <v>190</v>
      </c>
      <c r="B38" s="226" t="s">
        <v>20</v>
      </c>
      <c r="C38" s="231">
        <v>2002</v>
      </c>
    </row>
    <row r="39" spans="1:3" ht="15">
      <c r="A39" s="226" t="s">
        <v>38</v>
      </c>
      <c r="B39" s="226" t="s">
        <v>23</v>
      </c>
      <c r="C39" s="232">
        <v>2005</v>
      </c>
    </row>
    <row r="40" spans="1:3" ht="15">
      <c r="A40" s="226" t="s">
        <v>86</v>
      </c>
      <c r="B40" s="226" t="s">
        <v>13</v>
      </c>
      <c r="C40" s="232">
        <v>2005</v>
      </c>
    </row>
    <row r="41" spans="1:3" ht="15">
      <c r="A41" s="226" t="s">
        <v>78</v>
      </c>
      <c r="B41" s="233" t="s">
        <v>42</v>
      </c>
      <c r="C41" s="232">
        <v>2005</v>
      </c>
    </row>
    <row r="42" spans="1:3" ht="15">
      <c r="A42" s="225" t="s">
        <v>66</v>
      </c>
      <c r="B42" s="226" t="s">
        <v>12</v>
      </c>
      <c r="C42" s="231">
        <v>2004</v>
      </c>
    </row>
    <row r="43" spans="1:3" ht="15">
      <c r="A43" s="225" t="s">
        <v>59</v>
      </c>
      <c r="B43" s="230" t="s">
        <v>25</v>
      </c>
      <c r="C43" s="231">
        <v>2003</v>
      </c>
    </row>
    <row r="44" spans="1:3" ht="15">
      <c r="A44" s="225" t="s">
        <v>55</v>
      </c>
      <c r="B44" s="230" t="s">
        <v>25</v>
      </c>
      <c r="C44" s="231">
        <v>2003</v>
      </c>
    </row>
    <row r="45" spans="1:3" ht="15">
      <c r="A45" s="225" t="s">
        <v>180</v>
      </c>
      <c r="B45" s="230" t="s">
        <v>31</v>
      </c>
      <c r="C45" s="231">
        <v>2005</v>
      </c>
    </row>
    <row r="46" spans="1:3" ht="15">
      <c r="A46" s="226" t="s">
        <v>35</v>
      </c>
      <c r="B46" s="226" t="s">
        <v>23</v>
      </c>
      <c r="C46" s="232">
        <v>2006</v>
      </c>
    </row>
    <row r="47" spans="1:3" ht="15">
      <c r="A47" s="226" t="s">
        <v>14</v>
      </c>
      <c r="B47" s="226" t="s">
        <v>13</v>
      </c>
      <c r="C47" s="232">
        <v>2006</v>
      </c>
    </row>
    <row r="48" spans="1:3" ht="15">
      <c r="A48" s="226" t="s">
        <v>15</v>
      </c>
      <c r="B48" s="226" t="s">
        <v>13</v>
      </c>
      <c r="C48" s="232">
        <v>2006</v>
      </c>
    </row>
    <row r="49" spans="1:3" ht="15">
      <c r="A49" s="226" t="s">
        <v>155</v>
      </c>
      <c r="B49" s="233" t="s">
        <v>11</v>
      </c>
      <c r="C49" s="232">
        <v>2007</v>
      </c>
    </row>
    <row r="50" spans="1:3" ht="15">
      <c r="A50" s="225" t="s">
        <v>98</v>
      </c>
      <c r="B50" s="226" t="s">
        <v>20</v>
      </c>
      <c r="C50" s="232">
        <v>2007</v>
      </c>
    </row>
    <row r="51" spans="1:3" ht="15">
      <c r="A51" s="226" t="s">
        <v>97</v>
      </c>
      <c r="B51" s="226" t="s">
        <v>20</v>
      </c>
      <c r="C51" s="232">
        <v>2007</v>
      </c>
    </row>
    <row r="52" spans="1:3" ht="15">
      <c r="A52" s="226" t="s">
        <v>49</v>
      </c>
      <c r="B52" s="226" t="s">
        <v>12</v>
      </c>
      <c r="C52" s="232">
        <v>2007</v>
      </c>
    </row>
    <row r="53" spans="1:3" ht="15">
      <c r="A53" s="225" t="s">
        <v>48</v>
      </c>
      <c r="B53" s="226" t="s">
        <v>12</v>
      </c>
      <c r="C53" s="232">
        <v>2007</v>
      </c>
    </row>
    <row r="54" spans="1:3" ht="15">
      <c r="A54" s="226" t="s">
        <v>51</v>
      </c>
      <c r="B54" s="233" t="s">
        <v>42</v>
      </c>
      <c r="C54" s="232">
        <v>2006</v>
      </c>
    </row>
    <row r="55" spans="1:3" ht="15">
      <c r="A55" s="226" t="s">
        <v>54</v>
      </c>
      <c r="B55" s="233" t="s">
        <v>42</v>
      </c>
      <c r="C55" s="232">
        <v>2006</v>
      </c>
    </row>
    <row r="56" spans="1:3" ht="15">
      <c r="A56" s="226" t="s">
        <v>37</v>
      </c>
      <c r="B56" s="230" t="s">
        <v>25</v>
      </c>
      <c r="C56" s="232">
        <v>2006</v>
      </c>
    </row>
    <row r="57" spans="1:3" ht="15">
      <c r="A57" s="226" t="s">
        <v>36</v>
      </c>
      <c r="B57" s="230" t="s">
        <v>25</v>
      </c>
      <c r="C57" s="232">
        <v>2006</v>
      </c>
    </row>
    <row r="58" spans="1:3" ht="15">
      <c r="A58" s="226" t="s">
        <v>65</v>
      </c>
      <c r="B58" s="230" t="s">
        <v>25</v>
      </c>
      <c r="C58" s="232">
        <v>2006</v>
      </c>
    </row>
    <row r="59" spans="1:3" ht="15">
      <c r="A59" s="226" t="s">
        <v>33</v>
      </c>
      <c r="B59" s="226" t="s">
        <v>32</v>
      </c>
      <c r="C59" s="232">
        <v>2008</v>
      </c>
    </row>
    <row r="60" spans="1:3" ht="15">
      <c r="A60" s="226" t="s">
        <v>100</v>
      </c>
      <c r="B60" s="226" t="s">
        <v>32</v>
      </c>
      <c r="C60" s="232">
        <v>2008</v>
      </c>
    </row>
    <row r="61" spans="1:3" ht="15">
      <c r="A61" s="226" t="s">
        <v>47</v>
      </c>
      <c r="B61" s="226" t="s">
        <v>20</v>
      </c>
      <c r="C61" s="232">
        <v>2008</v>
      </c>
    </row>
    <row r="62" spans="1:3" ht="15">
      <c r="A62" s="225" t="s">
        <v>17</v>
      </c>
      <c r="B62" s="226" t="s">
        <v>12</v>
      </c>
      <c r="C62" s="232">
        <v>2008</v>
      </c>
    </row>
    <row r="63" spans="1:3" ht="15">
      <c r="A63" s="226" t="s">
        <v>18</v>
      </c>
      <c r="B63" s="226" t="s">
        <v>12</v>
      </c>
      <c r="C63" s="232">
        <v>2008</v>
      </c>
    </row>
    <row r="64" spans="1:3" ht="15">
      <c r="A64" s="230" t="s">
        <v>19</v>
      </c>
      <c r="B64" s="230" t="s">
        <v>12</v>
      </c>
      <c r="C64" s="232">
        <v>2008</v>
      </c>
    </row>
    <row r="65" spans="1:3" ht="15">
      <c r="A65" s="226" t="s">
        <v>29</v>
      </c>
      <c r="B65" s="226" t="s">
        <v>13</v>
      </c>
      <c r="C65" s="234">
        <v>2009</v>
      </c>
    </row>
    <row r="66" spans="1:3" ht="15">
      <c r="A66" s="226" t="s">
        <v>147</v>
      </c>
      <c r="B66" s="226" t="s">
        <v>13</v>
      </c>
      <c r="C66" s="232">
        <v>2009</v>
      </c>
    </row>
    <row r="67" spans="1:3" ht="15">
      <c r="A67" s="226" t="s">
        <v>28</v>
      </c>
      <c r="B67" s="226" t="s">
        <v>13</v>
      </c>
      <c r="C67" s="234">
        <v>2009</v>
      </c>
    </row>
    <row r="68" spans="1:3" ht="15">
      <c r="A68" s="226" t="s">
        <v>30</v>
      </c>
      <c r="B68" s="226" t="s">
        <v>13</v>
      </c>
      <c r="C68" s="234">
        <v>2009</v>
      </c>
    </row>
    <row r="69" spans="1:3" ht="15">
      <c r="A69" s="226" t="s">
        <v>46</v>
      </c>
      <c r="B69" s="230" t="s">
        <v>32</v>
      </c>
      <c r="C69" s="234">
        <v>2009</v>
      </c>
    </row>
    <row r="70" spans="1:3" ht="15">
      <c r="A70" s="226" t="s">
        <v>148</v>
      </c>
      <c r="B70" s="226" t="s">
        <v>11</v>
      </c>
      <c r="C70" s="232">
        <v>2009</v>
      </c>
    </row>
    <row r="71" spans="1:3" ht="15">
      <c r="A71" s="226" t="s">
        <v>149</v>
      </c>
      <c r="B71" s="226" t="s">
        <v>20</v>
      </c>
      <c r="C71" s="232">
        <v>2009</v>
      </c>
    </row>
    <row r="72" spans="1:3" ht="15">
      <c r="A72" s="230" t="s">
        <v>96</v>
      </c>
      <c r="B72" s="230" t="s">
        <v>20</v>
      </c>
      <c r="C72" s="234">
        <v>2009</v>
      </c>
    </row>
    <row r="73" spans="1:3" ht="15">
      <c r="A73" s="226" t="s">
        <v>150</v>
      </c>
      <c r="B73" s="230" t="s">
        <v>20</v>
      </c>
      <c r="C73" s="232">
        <v>2009</v>
      </c>
    </row>
    <row r="74" spans="1:3" ht="15">
      <c r="A74" s="226" t="s">
        <v>151</v>
      </c>
      <c r="B74" s="230" t="s">
        <v>20</v>
      </c>
      <c r="C74" s="232">
        <v>2009</v>
      </c>
    </row>
    <row r="75" spans="1:3" ht="15">
      <c r="A75" s="230" t="s">
        <v>75</v>
      </c>
      <c r="B75" s="230" t="s">
        <v>42</v>
      </c>
      <c r="C75" s="234">
        <v>2009</v>
      </c>
    </row>
    <row r="76" spans="1:3" ht="15">
      <c r="A76" s="226" t="s">
        <v>84</v>
      </c>
      <c r="B76" s="226" t="s">
        <v>12</v>
      </c>
      <c r="C76" s="232">
        <v>2009</v>
      </c>
    </row>
    <row r="77" spans="1:3" ht="15">
      <c r="A77" s="230" t="s">
        <v>152</v>
      </c>
      <c r="B77" s="230" t="s">
        <v>12</v>
      </c>
      <c r="C77" s="234">
        <v>2009</v>
      </c>
    </row>
    <row r="78" spans="1:3" ht="15">
      <c r="A78" s="230" t="s">
        <v>24</v>
      </c>
      <c r="B78" s="230" t="s">
        <v>25</v>
      </c>
      <c r="C78" s="234">
        <v>2009</v>
      </c>
    </row>
    <row r="79" spans="1:3" ht="15">
      <c r="A79" s="230" t="s">
        <v>167</v>
      </c>
      <c r="B79" s="230" t="s">
        <v>25</v>
      </c>
      <c r="C79" s="234">
        <v>2009</v>
      </c>
    </row>
    <row r="80" spans="1:3" ht="15">
      <c r="A80" s="230" t="s">
        <v>168</v>
      </c>
      <c r="B80" s="230" t="s">
        <v>25</v>
      </c>
      <c r="C80" s="234">
        <v>2009</v>
      </c>
    </row>
    <row r="81" spans="1:3" ht="15">
      <c r="A81" s="230" t="s">
        <v>26</v>
      </c>
      <c r="B81" s="230" t="s">
        <v>25</v>
      </c>
      <c r="C81" s="234">
        <v>2009</v>
      </c>
    </row>
    <row r="82" spans="1:3" ht="15">
      <c r="A82" s="230" t="s">
        <v>27</v>
      </c>
      <c r="B82" s="230" t="s">
        <v>25</v>
      </c>
      <c r="C82" s="234">
        <v>2009</v>
      </c>
    </row>
    <row r="83" spans="1:3" ht="15">
      <c r="A83" s="226" t="s">
        <v>172</v>
      </c>
      <c r="B83" s="226" t="s">
        <v>173</v>
      </c>
      <c r="C83" s="232">
        <v>2009</v>
      </c>
    </row>
    <row r="84" spans="1:3" ht="15">
      <c r="A84" s="226" t="s">
        <v>174</v>
      </c>
      <c r="B84" s="226" t="s">
        <v>173</v>
      </c>
      <c r="C84" s="232">
        <v>2009</v>
      </c>
    </row>
    <row r="85" spans="1:3" ht="15">
      <c r="A85" s="233" t="s">
        <v>40</v>
      </c>
      <c r="B85" s="226" t="s">
        <v>23</v>
      </c>
      <c r="C85" s="234">
        <v>2010</v>
      </c>
    </row>
    <row r="86" spans="1:3" ht="15">
      <c r="A86" s="226" t="s">
        <v>39</v>
      </c>
      <c r="B86" s="226" t="s">
        <v>23</v>
      </c>
      <c r="C86" s="234">
        <v>2010</v>
      </c>
    </row>
    <row r="87" spans="1:3" ht="15">
      <c r="A87" s="230" t="s">
        <v>99</v>
      </c>
      <c r="B87" s="230" t="s">
        <v>32</v>
      </c>
      <c r="C87" s="234">
        <v>2010</v>
      </c>
    </row>
    <row r="88" spans="1:3" ht="15">
      <c r="A88" s="233" t="s">
        <v>71</v>
      </c>
      <c r="B88" s="233" t="s">
        <v>11</v>
      </c>
      <c r="C88" s="234">
        <v>2010</v>
      </c>
    </row>
    <row r="89" spans="1:3" ht="15">
      <c r="A89" s="226" t="s">
        <v>72</v>
      </c>
      <c r="B89" s="233" t="s">
        <v>11</v>
      </c>
      <c r="C89" s="234">
        <v>2010</v>
      </c>
    </row>
    <row r="90" spans="1:3" ht="15">
      <c r="A90" s="226" t="s">
        <v>93</v>
      </c>
      <c r="B90" s="226" t="s">
        <v>20</v>
      </c>
      <c r="C90" s="234">
        <v>2010</v>
      </c>
    </row>
    <row r="91" spans="1:3" ht="15">
      <c r="A91" s="226" t="s">
        <v>70</v>
      </c>
      <c r="B91" s="226" t="s">
        <v>20</v>
      </c>
      <c r="C91" s="234">
        <v>2010</v>
      </c>
    </row>
    <row r="92" spans="1:3" ht="15">
      <c r="A92" s="226" t="s">
        <v>94</v>
      </c>
      <c r="B92" s="226" t="s">
        <v>20</v>
      </c>
      <c r="C92" s="234">
        <v>2010</v>
      </c>
    </row>
    <row r="93" spans="1:3" ht="15">
      <c r="A93" s="226" t="s">
        <v>95</v>
      </c>
      <c r="B93" s="226" t="s">
        <v>20</v>
      </c>
      <c r="C93" s="234">
        <v>2010</v>
      </c>
    </row>
    <row r="94" spans="1:3" ht="15">
      <c r="A94" s="230" t="s">
        <v>142</v>
      </c>
      <c r="B94" s="226" t="s">
        <v>20</v>
      </c>
      <c r="C94" s="234">
        <v>2010</v>
      </c>
    </row>
    <row r="95" spans="1:3" ht="15">
      <c r="A95" s="226" t="s">
        <v>143</v>
      </c>
      <c r="B95" s="226" t="s">
        <v>20</v>
      </c>
      <c r="C95" s="234">
        <v>2010</v>
      </c>
    </row>
    <row r="96" spans="1:3" ht="15">
      <c r="A96" s="226" t="s">
        <v>144</v>
      </c>
      <c r="B96" s="226" t="s">
        <v>42</v>
      </c>
      <c r="C96" s="234">
        <v>2010</v>
      </c>
    </row>
    <row r="97" spans="1:3" ht="15">
      <c r="A97" s="233" t="s">
        <v>73</v>
      </c>
      <c r="B97" s="226" t="s">
        <v>42</v>
      </c>
      <c r="C97" s="234">
        <v>2010</v>
      </c>
    </row>
    <row r="98" spans="1:3" ht="15">
      <c r="A98" s="233" t="s">
        <v>74</v>
      </c>
      <c r="B98" s="226" t="s">
        <v>42</v>
      </c>
      <c r="C98" s="234">
        <v>2010</v>
      </c>
    </row>
    <row r="99" spans="1:3" ht="15">
      <c r="A99" s="230" t="s">
        <v>145</v>
      </c>
      <c r="B99" s="226" t="s">
        <v>42</v>
      </c>
      <c r="C99" s="234">
        <v>2010</v>
      </c>
    </row>
    <row r="100" spans="1:3" ht="15">
      <c r="A100" s="230" t="s">
        <v>146</v>
      </c>
      <c r="B100" s="226" t="s">
        <v>42</v>
      </c>
      <c r="C100" s="234">
        <v>2010</v>
      </c>
    </row>
    <row r="101" spans="1:3" ht="15">
      <c r="A101" s="233" t="s">
        <v>43</v>
      </c>
      <c r="B101" s="233" t="s">
        <v>12</v>
      </c>
      <c r="C101" s="234">
        <v>2010</v>
      </c>
    </row>
    <row r="102" spans="1:3" ht="15">
      <c r="A102" s="233" t="s">
        <v>58</v>
      </c>
      <c r="B102" s="233" t="s">
        <v>12</v>
      </c>
      <c r="C102" s="234">
        <v>2010</v>
      </c>
    </row>
    <row r="103" spans="1:3" ht="15">
      <c r="A103" s="226" t="s">
        <v>56</v>
      </c>
      <c r="B103" s="226" t="s">
        <v>12</v>
      </c>
      <c r="C103" s="234">
        <v>2010</v>
      </c>
    </row>
    <row r="104" spans="1:3" ht="15">
      <c r="A104" s="226" t="s">
        <v>64</v>
      </c>
      <c r="B104" s="226" t="s">
        <v>25</v>
      </c>
      <c r="C104" s="234">
        <v>2010</v>
      </c>
    </row>
    <row r="105" spans="1:3" ht="15">
      <c r="A105" s="226" t="s">
        <v>166</v>
      </c>
      <c r="B105" s="226" t="s">
        <v>25</v>
      </c>
      <c r="C105" s="234">
        <v>2010</v>
      </c>
    </row>
    <row r="106" spans="1:3" ht="15">
      <c r="A106" s="226" t="s">
        <v>41</v>
      </c>
      <c r="B106" s="226" t="s">
        <v>25</v>
      </c>
      <c r="C106" s="234">
        <v>2010</v>
      </c>
    </row>
    <row r="107" spans="1:3" ht="15">
      <c r="A107" s="226" t="s">
        <v>176</v>
      </c>
      <c r="B107" s="226" t="s">
        <v>31</v>
      </c>
      <c r="C107" s="234">
        <v>2010</v>
      </c>
    </row>
    <row r="108" spans="1:3" ht="15">
      <c r="A108" s="226" t="s">
        <v>177</v>
      </c>
      <c r="B108" s="226" t="s">
        <v>31</v>
      </c>
      <c r="C108" s="234">
        <v>2010</v>
      </c>
    </row>
    <row r="109" spans="1:3" ht="15">
      <c r="A109" s="226" t="s">
        <v>178</v>
      </c>
      <c r="B109" s="226" t="s">
        <v>31</v>
      </c>
      <c r="C109" s="234">
        <v>2010</v>
      </c>
    </row>
    <row r="110" spans="1:3" ht="15">
      <c r="A110" s="226" t="s">
        <v>179</v>
      </c>
      <c r="B110" s="226" t="s">
        <v>31</v>
      </c>
      <c r="C110" s="234">
        <v>2010</v>
      </c>
    </row>
    <row r="111" spans="1:3" ht="15">
      <c r="A111" s="226" t="s">
        <v>191</v>
      </c>
      <c r="B111" s="226" t="s">
        <v>31</v>
      </c>
      <c r="C111" s="234">
        <v>2010</v>
      </c>
    </row>
    <row r="112" spans="1:3" ht="15">
      <c r="A112" s="233" t="s">
        <v>127</v>
      </c>
      <c r="B112" s="233" t="s">
        <v>23</v>
      </c>
      <c r="C112" s="234">
        <v>2011</v>
      </c>
    </row>
    <row r="113" spans="1:3" ht="15">
      <c r="A113" s="233" t="s">
        <v>128</v>
      </c>
      <c r="B113" s="233" t="s">
        <v>23</v>
      </c>
      <c r="C113" s="234">
        <v>2011</v>
      </c>
    </row>
    <row r="114" spans="1:3" ht="15">
      <c r="A114" s="226" t="s">
        <v>129</v>
      </c>
      <c r="B114" s="233" t="s">
        <v>13</v>
      </c>
      <c r="C114" s="234">
        <v>2011</v>
      </c>
    </row>
    <row r="115" spans="1:3" ht="15">
      <c r="A115" s="233" t="s">
        <v>83</v>
      </c>
      <c r="B115" s="233" t="s">
        <v>13</v>
      </c>
      <c r="C115" s="234">
        <v>2011</v>
      </c>
    </row>
    <row r="116" spans="1:3" ht="15">
      <c r="A116" s="235" t="s">
        <v>130</v>
      </c>
      <c r="B116" s="233" t="s">
        <v>13</v>
      </c>
      <c r="C116" s="234">
        <v>2011</v>
      </c>
    </row>
    <row r="117" spans="1:3" ht="15">
      <c r="A117" s="233" t="s">
        <v>131</v>
      </c>
      <c r="B117" s="233" t="s">
        <v>13</v>
      </c>
      <c r="C117" s="234">
        <v>2011</v>
      </c>
    </row>
    <row r="118" spans="1:3" ht="15">
      <c r="A118" s="226" t="s">
        <v>132</v>
      </c>
      <c r="B118" s="233" t="s">
        <v>13</v>
      </c>
      <c r="C118" s="234">
        <v>2011</v>
      </c>
    </row>
    <row r="119" spans="1:3" ht="15">
      <c r="A119" s="226" t="s">
        <v>82</v>
      </c>
      <c r="B119" s="233" t="s">
        <v>13</v>
      </c>
      <c r="C119" s="234">
        <v>2011</v>
      </c>
    </row>
    <row r="120" spans="1:3" ht="15">
      <c r="A120" s="233" t="s">
        <v>133</v>
      </c>
      <c r="B120" s="233" t="s">
        <v>32</v>
      </c>
      <c r="C120" s="234">
        <v>2011</v>
      </c>
    </row>
    <row r="121" spans="1:3" ht="15">
      <c r="A121" s="226" t="s">
        <v>134</v>
      </c>
      <c r="B121" s="233" t="s">
        <v>32</v>
      </c>
      <c r="C121" s="234">
        <v>2011</v>
      </c>
    </row>
    <row r="122" spans="1:3" ht="15">
      <c r="A122" s="233" t="s">
        <v>135</v>
      </c>
      <c r="B122" s="233" t="s">
        <v>32</v>
      </c>
      <c r="C122" s="234">
        <v>2011</v>
      </c>
    </row>
    <row r="123" spans="1:3" ht="15">
      <c r="A123" s="226" t="s">
        <v>136</v>
      </c>
      <c r="B123" s="226" t="s">
        <v>20</v>
      </c>
      <c r="C123" s="234">
        <v>2011</v>
      </c>
    </row>
    <row r="124" spans="1:3" ht="15">
      <c r="A124" s="226" t="s">
        <v>137</v>
      </c>
      <c r="B124" s="226" t="s">
        <v>20</v>
      </c>
      <c r="C124" s="234">
        <v>2011</v>
      </c>
    </row>
    <row r="125" spans="1:3" ht="15">
      <c r="A125" s="233" t="s">
        <v>92</v>
      </c>
      <c r="B125" s="233" t="s">
        <v>20</v>
      </c>
      <c r="C125" s="234">
        <v>2011</v>
      </c>
    </row>
    <row r="126" spans="1:3" ht="15">
      <c r="A126" s="233" t="s">
        <v>91</v>
      </c>
      <c r="B126" s="233" t="s">
        <v>20</v>
      </c>
      <c r="C126" s="234">
        <v>2011</v>
      </c>
    </row>
    <row r="127" spans="1:3" ht="15">
      <c r="A127" s="235" t="s">
        <v>138</v>
      </c>
      <c r="B127" s="230" t="s">
        <v>42</v>
      </c>
      <c r="C127" s="234">
        <v>2011</v>
      </c>
    </row>
    <row r="128" spans="1:3" ht="15">
      <c r="A128" s="233" t="s">
        <v>139</v>
      </c>
      <c r="B128" s="230" t="s">
        <v>42</v>
      </c>
      <c r="C128" s="234">
        <v>2011</v>
      </c>
    </row>
    <row r="129" spans="1:3" ht="15">
      <c r="A129" s="233" t="s">
        <v>140</v>
      </c>
      <c r="B129" s="230" t="s">
        <v>12</v>
      </c>
      <c r="C129" s="234">
        <v>2011</v>
      </c>
    </row>
    <row r="130" spans="1:3" ht="15">
      <c r="A130" s="226" t="s">
        <v>44</v>
      </c>
      <c r="B130" s="226" t="s">
        <v>12</v>
      </c>
      <c r="C130" s="234">
        <v>2011</v>
      </c>
    </row>
    <row r="131" spans="1:3" ht="15">
      <c r="A131" s="230" t="s">
        <v>45</v>
      </c>
      <c r="B131" s="230" t="s">
        <v>12</v>
      </c>
      <c r="C131" s="234">
        <v>2011</v>
      </c>
    </row>
    <row r="132" spans="1:3" ht="15">
      <c r="A132" s="226" t="s">
        <v>60</v>
      </c>
      <c r="B132" s="226" t="s">
        <v>25</v>
      </c>
      <c r="C132" s="224">
        <v>2011</v>
      </c>
    </row>
    <row r="133" spans="1:3" ht="15">
      <c r="A133" s="230" t="s">
        <v>61</v>
      </c>
      <c r="B133" s="226" t="s">
        <v>25</v>
      </c>
      <c r="C133" s="234">
        <v>2011</v>
      </c>
    </row>
    <row r="134" spans="1:3" ht="15">
      <c r="A134" s="230" t="s">
        <v>62</v>
      </c>
      <c r="B134" s="226" t="s">
        <v>25</v>
      </c>
      <c r="C134" s="234">
        <v>2011</v>
      </c>
    </row>
    <row r="135" spans="1:3" ht="15">
      <c r="A135" s="233" t="s">
        <v>63</v>
      </c>
      <c r="B135" s="226" t="s">
        <v>25</v>
      </c>
      <c r="C135" s="234">
        <v>2011</v>
      </c>
    </row>
    <row r="136" spans="1:3" ht="15">
      <c r="A136" s="233" t="s">
        <v>175</v>
      </c>
      <c r="B136" s="226" t="s">
        <v>31</v>
      </c>
      <c r="C136" s="234">
        <v>2011</v>
      </c>
    </row>
    <row r="137" spans="1:3" ht="15">
      <c r="A137" s="233" t="s">
        <v>109</v>
      </c>
      <c r="B137" s="233" t="s">
        <v>23</v>
      </c>
      <c r="C137" s="234">
        <v>2012</v>
      </c>
    </row>
    <row r="138" spans="1:3" ht="15">
      <c r="A138" s="230" t="s">
        <v>110</v>
      </c>
      <c r="B138" s="226" t="s">
        <v>111</v>
      </c>
      <c r="C138" s="234">
        <v>2013</v>
      </c>
    </row>
    <row r="139" spans="1:3" ht="15">
      <c r="A139" s="226" t="s">
        <v>112</v>
      </c>
      <c r="B139" s="226" t="s">
        <v>111</v>
      </c>
      <c r="C139" s="234">
        <v>2012</v>
      </c>
    </row>
    <row r="140" spans="1:3" ht="15">
      <c r="A140" s="233" t="s">
        <v>113</v>
      </c>
      <c r="B140" s="226" t="s">
        <v>111</v>
      </c>
      <c r="C140" s="234">
        <v>2013</v>
      </c>
    </row>
    <row r="141" spans="1:3" ht="15">
      <c r="A141" s="226" t="s">
        <v>114</v>
      </c>
      <c r="B141" s="226" t="s">
        <v>111</v>
      </c>
      <c r="C141" s="234">
        <v>2012</v>
      </c>
    </row>
    <row r="142" spans="1:3" ht="15">
      <c r="A142" s="226" t="s">
        <v>115</v>
      </c>
      <c r="B142" s="226" t="s">
        <v>32</v>
      </c>
      <c r="C142" s="234">
        <v>2012</v>
      </c>
    </row>
    <row r="143" spans="1:3" ht="15">
      <c r="A143" s="230" t="s">
        <v>116</v>
      </c>
      <c r="B143" s="226" t="s">
        <v>32</v>
      </c>
      <c r="C143" s="234">
        <v>2012</v>
      </c>
    </row>
    <row r="144" spans="1:3" ht="15">
      <c r="A144" s="233" t="s">
        <v>117</v>
      </c>
      <c r="B144" s="226" t="s">
        <v>32</v>
      </c>
      <c r="C144" s="229">
        <v>2012</v>
      </c>
    </row>
    <row r="145" spans="1:3" ht="15">
      <c r="A145" s="226" t="s">
        <v>118</v>
      </c>
      <c r="B145" s="226" t="s">
        <v>32</v>
      </c>
      <c r="C145" s="234">
        <v>2012</v>
      </c>
    </row>
    <row r="146" spans="1:3" ht="15">
      <c r="A146" s="226" t="s">
        <v>119</v>
      </c>
      <c r="B146" s="226" t="s">
        <v>11</v>
      </c>
      <c r="C146" s="234">
        <v>2012</v>
      </c>
    </row>
    <row r="147" spans="1:3" ht="15">
      <c r="A147" s="230" t="s">
        <v>120</v>
      </c>
      <c r="B147" s="226" t="s">
        <v>11</v>
      </c>
      <c r="C147" s="224">
        <v>2012</v>
      </c>
    </row>
    <row r="148" spans="1:3" ht="15">
      <c r="A148" s="233" t="s">
        <v>121</v>
      </c>
      <c r="B148" s="226" t="s">
        <v>11</v>
      </c>
      <c r="C148" s="229">
        <v>2012</v>
      </c>
    </row>
    <row r="149" spans="1:3" ht="15">
      <c r="A149" s="233" t="s">
        <v>122</v>
      </c>
      <c r="B149" s="226" t="s">
        <v>11</v>
      </c>
      <c r="C149" s="229">
        <v>2013</v>
      </c>
    </row>
    <row r="150" spans="1:3" ht="15">
      <c r="A150" s="226" t="s">
        <v>123</v>
      </c>
      <c r="B150" s="226" t="s">
        <v>11</v>
      </c>
      <c r="C150" s="234">
        <v>2013</v>
      </c>
    </row>
    <row r="151" spans="1:3" ht="15">
      <c r="A151" s="233" t="s">
        <v>124</v>
      </c>
      <c r="B151" s="226" t="s">
        <v>11</v>
      </c>
      <c r="C151" s="229">
        <v>2013</v>
      </c>
    </row>
    <row r="152" spans="1:3" ht="15">
      <c r="A152" s="233" t="s">
        <v>125</v>
      </c>
      <c r="B152" s="226" t="s">
        <v>20</v>
      </c>
      <c r="C152" s="229">
        <v>2012</v>
      </c>
    </row>
    <row r="153" spans="1:3" ht="15">
      <c r="A153" s="233" t="s">
        <v>188</v>
      </c>
      <c r="B153" s="226" t="s">
        <v>20</v>
      </c>
      <c r="C153" s="229">
        <v>2012</v>
      </c>
    </row>
    <row r="154" spans="1:3" ht="15">
      <c r="A154" s="233" t="s">
        <v>189</v>
      </c>
      <c r="B154" s="226" t="s">
        <v>20</v>
      </c>
      <c r="C154" s="229">
        <v>2012</v>
      </c>
    </row>
  </sheetData>
  <sheetProtection/>
  <autoFilter ref="A1:D1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>
    <tabColor rgb="FF00B050"/>
    <pageSetUpPr fitToPage="1"/>
  </sheetPr>
  <dimension ref="A1:P28"/>
  <sheetViews>
    <sheetView tabSelected="1" zoomScalePageLayoutView="80" workbookViewId="0" topLeftCell="A1">
      <selection activeCell="P25" sqref="P25"/>
    </sheetView>
  </sheetViews>
  <sheetFormatPr defaultColWidth="9.00390625" defaultRowHeight="12.75"/>
  <cols>
    <col min="1" max="1" width="4.25390625" style="3" customWidth="1"/>
    <col min="2" max="2" width="25.125" style="4" customWidth="1"/>
    <col min="3" max="3" width="24.375" style="4" customWidth="1"/>
    <col min="4" max="4" width="7.25390625" style="5" bestFit="1" customWidth="1"/>
    <col min="5" max="6" width="11.00390625" style="4" customWidth="1"/>
    <col min="7" max="7" width="11.00390625" style="6" customWidth="1"/>
    <col min="8" max="9" width="11.00390625" style="4" customWidth="1"/>
    <col min="10" max="10" width="11.00390625" style="6" customWidth="1"/>
    <col min="11" max="11" width="12.875" style="169" customWidth="1"/>
    <col min="12" max="16384" width="9.125" style="8" customWidth="1"/>
  </cols>
  <sheetData>
    <row r="1" spans="1:11" s="23" customFormat="1" ht="18.75" thickBot="1">
      <c r="A1" s="1" t="s">
        <v>126</v>
      </c>
      <c r="B1" s="20"/>
      <c r="C1" s="20"/>
      <c r="D1" s="21"/>
      <c r="E1" s="20"/>
      <c r="F1" s="20"/>
      <c r="G1" s="22"/>
      <c r="H1" s="20"/>
      <c r="I1" s="20"/>
      <c r="J1" s="22"/>
      <c r="K1" s="22"/>
    </row>
    <row r="2" spans="1:11" s="19" customFormat="1" ht="16.5" thickBot="1">
      <c r="A2" s="259"/>
      <c r="B2" s="261" t="s">
        <v>57</v>
      </c>
      <c r="C2" s="273" t="s">
        <v>0</v>
      </c>
      <c r="D2" s="265" t="s">
        <v>3</v>
      </c>
      <c r="E2" s="267" t="s">
        <v>34</v>
      </c>
      <c r="F2" s="267"/>
      <c r="G2" s="269"/>
      <c r="H2" s="268" t="s">
        <v>5</v>
      </c>
      <c r="I2" s="267"/>
      <c r="J2" s="267"/>
      <c r="K2" s="257" t="s">
        <v>2</v>
      </c>
    </row>
    <row r="3" spans="1:11" s="19" customFormat="1" ht="30.75" thickBot="1">
      <c r="A3" s="271"/>
      <c r="B3" s="262"/>
      <c r="C3" s="274"/>
      <c r="D3" s="272"/>
      <c r="E3" s="137" t="s">
        <v>6</v>
      </c>
      <c r="F3" s="138" t="s">
        <v>7</v>
      </c>
      <c r="G3" s="101" t="s">
        <v>8</v>
      </c>
      <c r="H3" s="98" t="s">
        <v>6</v>
      </c>
      <c r="I3" s="96" t="s">
        <v>7</v>
      </c>
      <c r="J3" s="97" t="s">
        <v>9</v>
      </c>
      <c r="K3" s="270"/>
    </row>
    <row r="4" spans="1:16" s="43" customFormat="1" ht="20.25">
      <c r="A4" s="156">
        <v>1</v>
      </c>
      <c r="B4" s="236" t="s">
        <v>63</v>
      </c>
      <c r="C4" s="126" t="s">
        <v>25</v>
      </c>
      <c r="D4" s="41">
        <v>2011</v>
      </c>
      <c r="E4" s="88">
        <v>2</v>
      </c>
      <c r="F4" s="86">
        <f>10-1.03</f>
        <v>8.97</v>
      </c>
      <c r="G4" s="87">
        <f aca="true" t="shared" si="0" ref="G4:G26">SUM(E4:F4)</f>
        <v>10.97</v>
      </c>
      <c r="H4" s="60">
        <v>2</v>
      </c>
      <c r="I4" s="86">
        <f>10-0.8</f>
        <v>9.2</v>
      </c>
      <c r="J4" s="87">
        <f aca="true" t="shared" si="1" ref="J4:J26">SUM(H4:I4)</f>
        <v>11.2</v>
      </c>
      <c r="K4" s="170">
        <f aca="true" t="shared" si="2" ref="K4:K26">J4+G4</f>
        <v>22.17</v>
      </c>
      <c r="M4" s="120"/>
      <c r="N4" s="120"/>
      <c r="O4"/>
      <c r="P4"/>
    </row>
    <row r="5" spans="1:16" s="43" customFormat="1" ht="15" customHeight="1">
      <c r="A5" s="80">
        <v>2</v>
      </c>
      <c r="B5" s="84" t="s">
        <v>175</v>
      </c>
      <c r="C5" s="89" t="s">
        <v>31</v>
      </c>
      <c r="D5" s="47">
        <v>2011</v>
      </c>
      <c r="E5" s="78">
        <v>2</v>
      </c>
      <c r="F5" s="73">
        <f>10-1.13</f>
        <v>8.870000000000001</v>
      </c>
      <c r="G5" s="83">
        <f t="shared" si="0"/>
        <v>10.870000000000001</v>
      </c>
      <c r="H5" s="55">
        <v>2</v>
      </c>
      <c r="I5" s="73">
        <f>10-0.75</f>
        <v>9.25</v>
      </c>
      <c r="J5" s="83">
        <f t="shared" si="1"/>
        <v>11.25</v>
      </c>
      <c r="K5" s="168">
        <f t="shared" si="2"/>
        <v>22.12</v>
      </c>
      <c r="M5"/>
      <c r="N5"/>
      <c r="O5"/>
      <c r="P5" s="122"/>
    </row>
    <row r="6" spans="1:13" s="43" customFormat="1" ht="15.75">
      <c r="A6" s="80">
        <v>3</v>
      </c>
      <c r="B6" s="166" t="s">
        <v>61</v>
      </c>
      <c r="C6" s="162" t="s">
        <v>25</v>
      </c>
      <c r="D6" s="47">
        <v>2011</v>
      </c>
      <c r="E6" s="78">
        <v>2</v>
      </c>
      <c r="F6" s="73">
        <f>10-1.06</f>
        <v>8.94</v>
      </c>
      <c r="G6" s="83">
        <f t="shared" si="0"/>
        <v>10.94</v>
      </c>
      <c r="H6" s="55">
        <v>2</v>
      </c>
      <c r="I6" s="73">
        <f>10-0.9</f>
        <v>9.1</v>
      </c>
      <c r="J6" s="83">
        <f t="shared" si="1"/>
        <v>11.1</v>
      </c>
      <c r="K6" s="168">
        <f t="shared" si="2"/>
        <v>22.04</v>
      </c>
      <c r="M6" s="119"/>
    </row>
    <row r="7" spans="1:13" s="43" customFormat="1" ht="15.75">
      <c r="A7" s="80">
        <v>4</v>
      </c>
      <c r="B7" s="84" t="s">
        <v>192</v>
      </c>
      <c r="C7" s="165" t="s">
        <v>32</v>
      </c>
      <c r="D7" s="47">
        <v>2011</v>
      </c>
      <c r="E7" s="78">
        <v>2</v>
      </c>
      <c r="F7" s="73">
        <f>10-1.46</f>
        <v>8.54</v>
      </c>
      <c r="G7" s="83">
        <f t="shared" si="0"/>
        <v>10.54</v>
      </c>
      <c r="H7" s="55">
        <v>2</v>
      </c>
      <c r="I7" s="73">
        <f>10-0.65</f>
        <v>9.35</v>
      </c>
      <c r="J7" s="83">
        <f t="shared" si="1"/>
        <v>11.35</v>
      </c>
      <c r="K7" s="168">
        <f t="shared" si="2"/>
        <v>21.89</v>
      </c>
      <c r="M7" s="119"/>
    </row>
    <row r="8" spans="1:13" s="43" customFormat="1" ht="15.75">
      <c r="A8" s="80">
        <v>5</v>
      </c>
      <c r="B8" s="63" t="s">
        <v>60</v>
      </c>
      <c r="C8" s="162" t="s">
        <v>25</v>
      </c>
      <c r="D8" s="47">
        <v>2011</v>
      </c>
      <c r="E8" s="78">
        <v>2</v>
      </c>
      <c r="F8" s="73">
        <f>10-1.06</f>
        <v>8.94</v>
      </c>
      <c r="G8" s="83">
        <f t="shared" si="0"/>
        <v>10.94</v>
      </c>
      <c r="H8" s="55">
        <v>2</v>
      </c>
      <c r="I8" s="73">
        <f>10-1.3</f>
        <v>8.7</v>
      </c>
      <c r="J8" s="83">
        <f t="shared" si="1"/>
        <v>10.7</v>
      </c>
      <c r="K8" s="168">
        <f t="shared" si="2"/>
        <v>21.64</v>
      </c>
      <c r="M8" s="119"/>
    </row>
    <row r="9" spans="1:13" s="43" customFormat="1" ht="15.75">
      <c r="A9" s="80">
        <v>6</v>
      </c>
      <c r="B9" s="63" t="s">
        <v>82</v>
      </c>
      <c r="C9" s="165" t="s">
        <v>13</v>
      </c>
      <c r="D9" s="47">
        <v>2011</v>
      </c>
      <c r="E9" s="78">
        <v>2</v>
      </c>
      <c r="F9" s="73">
        <f>10-1.46</f>
        <v>8.54</v>
      </c>
      <c r="G9" s="83">
        <f>SUM(E9:F9)</f>
        <v>10.54</v>
      </c>
      <c r="H9" s="55">
        <v>2</v>
      </c>
      <c r="I9" s="73">
        <f>10-0.9</f>
        <v>9.1</v>
      </c>
      <c r="J9" s="83">
        <f>SUM(H9:I9)</f>
        <v>11.1</v>
      </c>
      <c r="K9" s="168">
        <f>J9+G9</f>
        <v>21.64</v>
      </c>
      <c r="M9" s="119"/>
    </row>
    <row r="10" spans="1:13" s="43" customFormat="1" ht="15.75">
      <c r="A10" s="80">
        <v>7</v>
      </c>
      <c r="B10" s="131" t="s">
        <v>140</v>
      </c>
      <c r="C10" s="163" t="s">
        <v>12</v>
      </c>
      <c r="D10" s="47">
        <v>2011</v>
      </c>
      <c r="E10" s="78">
        <v>2</v>
      </c>
      <c r="F10" s="73">
        <f>10-1</f>
        <v>9</v>
      </c>
      <c r="G10" s="83">
        <f t="shared" si="0"/>
        <v>11</v>
      </c>
      <c r="H10" s="55">
        <v>2</v>
      </c>
      <c r="I10" s="73">
        <f>10-1.4</f>
        <v>8.6</v>
      </c>
      <c r="J10" s="83">
        <f t="shared" si="1"/>
        <v>10.6</v>
      </c>
      <c r="K10" s="168">
        <f t="shared" si="2"/>
        <v>21.6</v>
      </c>
      <c r="M10" s="119"/>
    </row>
    <row r="11" spans="1:11" s="43" customFormat="1" ht="15.75">
      <c r="A11" s="80">
        <v>8</v>
      </c>
      <c r="B11" s="84" t="s">
        <v>92</v>
      </c>
      <c r="C11" s="90" t="s">
        <v>20</v>
      </c>
      <c r="D11" s="47">
        <v>2011</v>
      </c>
      <c r="E11" s="78">
        <v>2</v>
      </c>
      <c r="F11" s="73">
        <f>10-1.53</f>
        <v>8.47</v>
      </c>
      <c r="G11" s="83">
        <f t="shared" si="0"/>
        <v>10.47</v>
      </c>
      <c r="H11" s="55">
        <v>2</v>
      </c>
      <c r="I11" s="73">
        <f>10-0.9</f>
        <v>9.1</v>
      </c>
      <c r="J11" s="83">
        <f t="shared" si="1"/>
        <v>11.1</v>
      </c>
      <c r="K11" s="168">
        <f t="shared" si="2"/>
        <v>21.57</v>
      </c>
    </row>
    <row r="12" spans="1:11" s="43" customFormat="1" ht="15.75">
      <c r="A12" s="80">
        <v>9</v>
      </c>
      <c r="B12" s="84" t="s">
        <v>91</v>
      </c>
      <c r="C12" s="90" t="s">
        <v>20</v>
      </c>
      <c r="D12" s="47">
        <v>2011</v>
      </c>
      <c r="E12" s="78">
        <v>2</v>
      </c>
      <c r="F12" s="73">
        <f>10-1.66</f>
        <v>8.34</v>
      </c>
      <c r="G12" s="83">
        <f t="shared" si="0"/>
        <v>10.34</v>
      </c>
      <c r="H12" s="55">
        <v>2</v>
      </c>
      <c r="I12" s="73">
        <f>10-0.9</f>
        <v>9.1</v>
      </c>
      <c r="J12" s="83">
        <f t="shared" si="1"/>
        <v>11.1</v>
      </c>
      <c r="K12" s="168">
        <f t="shared" si="2"/>
        <v>21.439999999999998</v>
      </c>
    </row>
    <row r="13" spans="1:11" s="43" customFormat="1" ht="15.75">
      <c r="A13" s="80">
        <v>10</v>
      </c>
      <c r="B13" s="84" t="s">
        <v>128</v>
      </c>
      <c r="C13" s="90" t="s">
        <v>23</v>
      </c>
      <c r="D13" s="47">
        <v>2011</v>
      </c>
      <c r="E13" s="78">
        <v>2</v>
      </c>
      <c r="F13" s="73">
        <f>10-1.33</f>
        <v>8.67</v>
      </c>
      <c r="G13" s="83">
        <f t="shared" si="0"/>
        <v>10.67</v>
      </c>
      <c r="H13" s="55">
        <v>2</v>
      </c>
      <c r="I13" s="73">
        <f>10-1.25</f>
        <v>8.75</v>
      </c>
      <c r="J13" s="83">
        <f t="shared" si="1"/>
        <v>10.75</v>
      </c>
      <c r="K13" s="168">
        <f t="shared" si="2"/>
        <v>21.42</v>
      </c>
    </row>
    <row r="14" spans="1:11" s="43" customFormat="1" ht="15.75">
      <c r="A14" s="80">
        <v>11</v>
      </c>
      <c r="B14" s="84" t="s">
        <v>83</v>
      </c>
      <c r="C14" s="90" t="s">
        <v>13</v>
      </c>
      <c r="D14" s="47">
        <v>2011</v>
      </c>
      <c r="E14" s="78">
        <v>2</v>
      </c>
      <c r="F14" s="73">
        <f>10-1.73</f>
        <v>8.27</v>
      </c>
      <c r="G14" s="83">
        <f t="shared" si="0"/>
        <v>10.27</v>
      </c>
      <c r="H14" s="55">
        <v>2</v>
      </c>
      <c r="I14" s="73">
        <f>10-0.85</f>
        <v>9.15</v>
      </c>
      <c r="J14" s="83">
        <f t="shared" si="1"/>
        <v>11.15</v>
      </c>
      <c r="K14" s="168">
        <f t="shared" si="2"/>
        <v>21.42</v>
      </c>
    </row>
    <row r="15" spans="1:11" s="43" customFormat="1" ht="15.75">
      <c r="A15" s="80">
        <v>12</v>
      </c>
      <c r="B15" s="166" t="s">
        <v>45</v>
      </c>
      <c r="C15" s="163" t="s">
        <v>12</v>
      </c>
      <c r="D15" s="47">
        <v>2011</v>
      </c>
      <c r="E15" s="78">
        <v>2</v>
      </c>
      <c r="F15" s="73">
        <f>10-1.5</f>
        <v>8.5</v>
      </c>
      <c r="G15" s="83">
        <f t="shared" si="0"/>
        <v>10.5</v>
      </c>
      <c r="H15" s="55">
        <v>2</v>
      </c>
      <c r="I15" s="73">
        <f>10-1.45</f>
        <v>8.55</v>
      </c>
      <c r="J15" s="83">
        <f t="shared" si="1"/>
        <v>10.55</v>
      </c>
      <c r="K15" s="168">
        <f t="shared" si="2"/>
        <v>21.05</v>
      </c>
    </row>
    <row r="16" spans="1:11" s="43" customFormat="1" ht="15.75">
      <c r="A16" s="80">
        <v>13</v>
      </c>
      <c r="B16" s="209" t="s">
        <v>44</v>
      </c>
      <c r="C16" s="187" t="s">
        <v>12</v>
      </c>
      <c r="D16" s="47">
        <v>2011</v>
      </c>
      <c r="E16" s="78">
        <v>2</v>
      </c>
      <c r="F16" s="73">
        <f>10-1.53</f>
        <v>8.47</v>
      </c>
      <c r="G16" s="83">
        <f t="shared" si="0"/>
        <v>10.47</v>
      </c>
      <c r="H16" s="55">
        <v>2</v>
      </c>
      <c r="I16" s="73">
        <f>10-1.45</f>
        <v>8.55</v>
      </c>
      <c r="J16" s="83">
        <f t="shared" si="1"/>
        <v>10.55</v>
      </c>
      <c r="K16" s="168">
        <f t="shared" si="2"/>
        <v>21.020000000000003</v>
      </c>
    </row>
    <row r="17" spans="1:11" s="43" customFormat="1" ht="15.75">
      <c r="A17" s="80">
        <v>14</v>
      </c>
      <c r="B17" s="92" t="s">
        <v>62</v>
      </c>
      <c r="C17" s="89" t="s">
        <v>25</v>
      </c>
      <c r="D17" s="81">
        <v>2011</v>
      </c>
      <c r="E17" s="78">
        <v>2</v>
      </c>
      <c r="F17" s="73">
        <f>10-2.36</f>
        <v>7.640000000000001</v>
      </c>
      <c r="G17" s="83">
        <f t="shared" si="0"/>
        <v>9.64</v>
      </c>
      <c r="H17" s="55">
        <v>2</v>
      </c>
      <c r="I17" s="73">
        <f>10-0.8</f>
        <v>9.2</v>
      </c>
      <c r="J17" s="83">
        <f t="shared" si="1"/>
        <v>11.2</v>
      </c>
      <c r="K17" s="168">
        <f t="shared" si="2"/>
        <v>20.84</v>
      </c>
    </row>
    <row r="18" spans="1:11" s="43" customFormat="1" ht="15.75">
      <c r="A18" s="80">
        <v>15</v>
      </c>
      <c r="B18" s="63" t="s">
        <v>137</v>
      </c>
      <c r="C18" s="89" t="s">
        <v>20</v>
      </c>
      <c r="D18" s="47">
        <v>2011</v>
      </c>
      <c r="E18" s="78">
        <v>2</v>
      </c>
      <c r="F18" s="73">
        <f>10-1.93</f>
        <v>8.07</v>
      </c>
      <c r="G18" s="83">
        <f t="shared" si="0"/>
        <v>10.07</v>
      </c>
      <c r="H18" s="55">
        <v>2</v>
      </c>
      <c r="I18" s="73">
        <f>10-1.25</f>
        <v>8.75</v>
      </c>
      <c r="J18" s="83">
        <f t="shared" si="1"/>
        <v>10.75</v>
      </c>
      <c r="K18" s="168">
        <f t="shared" si="2"/>
        <v>20.82</v>
      </c>
    </row>
    <row r="19" spans="1:11" s="26" customFormat="1" ht="15.75">
      <c r="A19" s="80">
        <v>16</v>
      </c>
      <c r="B19" s="161" t="s">
        <v>138</v>
      </c>
      <c r="C19" s="163" t="s">
        <v>42</v>
      </c>
      <c r="D19" s="47">
        <v>2011</v>
      </c>
      <c r="E19" s="78">
        <v>2</v>
      </c>
      <c r="F19" s="73">
        <f>10-2.13</f>
        <v>7.87</v>
      </c>
      <c r="G19" s="83">
        <f t="shared" si="0"/>
        <v>9.870000000000001</v>
      </c>
      <c r="H19" s="55">
        <v>2</v>
      </c>
      <c r="I19" s="73">
        <f>10-1.1</f>
        <v>8.9</v>
      </c>
      <c r="J19" s="83">
        <f t="shared" si="1"/>
        <v>10.9</v>
      </c>
      <c r="K19" s="168">
        <f t="shared" si="2"/>
        <v>20.770000000000003</v>
      </c>
    </row>
    <row r="20" spans="1:11" s="26" customFormat="1" ht="15.75">
      <c r="A20" s="80">
        <v>17</v>
      </c>
      <c r="B20" s="131" t="s">
        <v>131</v>
      </c>
      <c r="C20" s="165" t="s">
        <v>13</v>
      </c>
      <c r="D20" s="47">
        <v>2011</v>
      </c>
      <c r="E20" s="78">
        <v>2</v>
      </c>
      <c r="F20" s="73">
        <f>10-2.06</f>
        <v>7.9399999999999995</v>
      </c>
      <c r="G20" s="83">
        <f t="shared" si="0"/>
        <v>9.94</v>
      </c>
      <c r="H20" s="55">
        <v>2</v>
      </c>
      <c r="I20" s="73">
        <f>10-1.8</f>
        <v>8.2</v>
      </c>
      <c r="J20" s="83">
        <f t="shared" si="1"/>
        <v>10.2</v>
      </c>
      <c r="K20" s="168">
        <f t="shared" si="2"/>
        <v>20.14</v>
      </c>
    </row>
    <row r="21" spans="1:11" s="26" customFormat="1" ht="15.75">
      <c r="A21" s="80">
        <v>18</v>
      </c>
      <c r="B21" s="131" t="s">
        <v>133</v>
      </c>
      <c r="C21" s="165" t="s">
        <v>32</v>
      </c>
      <c r="D21" s="47">
        <v>2011</v>
      </c>
      <c r="E21" s="78">
        <v>2</v>
      </c>
      <c r="F21" s="73">
        <f>10-2.26</f>
        <v>7.74</v>
      </c>
      <c r="G21" s="83">
        <f t="shared" si="0"/>
        <v>9.74</v>
      </c>
      <c r="H21" s="55">
        <v>2</v>
      </c>
      <c r="I21" s="73">
        <f>10-1.7</f>
        <v>8.3</v>
      </c>
      <c r="J21" s="83">
        <f t="shared" si="1"/>
        <v>10.3</v>
      </c>
      <c r="K21" s="168">
        <f t="shared" si="2"/>
        <v>20.04</v>
      </c>
    </row>
    <row r="22" spans="1:11" s="26" customFormat="1" ht="15.75">
      <c r="A22" s="80">
        <v>19</v>
      </c>
      <c r="B22" s="45" t="s">
        <v>193</v>
      </c>
      <c r="C22" s="165" t="s">
        <v>13</v>
      </c>
      <c r="D22" s="47">
        <v>2011</v>
      </c>
      <c r="E22" s="78">
        <v>2</v>
      </c>
      <c r="F22" s="73">
        <f>10-3.23</f>
        <v>6.77</v>
      </c>
      <c r="G22" s="83">
        <f t="shared" si="0"/>
        <v>8.77</v>
      </c>
      <c r="H22" s="55">
        <v>2</v>
      </c>
      <c r="I22" s="73">
        <f>10-1.55</f>
        <v>8.45</v>
      </c>
      <c r="J22" s="83">
        <f t="shared" si="1"/>
        <v>10.45</v>
      </c>
      <c r="K22" s="168">
        <f t="shared" si="2"/>
        <v>19.22</v>
      </c>
    </row>
    <row r="23" spans="1:11" s="26" customFormat="1" ht="15.75">
      <c r="A23" s="80">
        <v>20</v>
      </c>
      <c r="B23" s="237" t="s">
        <v>130</v>
      </c>
      <c r="C23" s="165" t="s">
        <v>13</v>
      </c>
      <c r="D23" s="47">
        <v>2011</v>
      </c>
      <c r="E23" s="78">
        <v>2</v>
      </c>
      <c r="F23" s="73">
        <f>10-3.26</f>
        <v>6.74</v>
      </c>
      <c r="G23" s="83">
        <f t="shared" si="0"/>
        <v>8.74</v>
      </c>
      <c r="H23" s="55">
        <v>2</v>
      </c>
      <c r="I23" s="73">
        <f>10-1.8</f>
        <v>8.2</v>
      </c>
      <c r="J23" s="83">
        <f t="shared" si="1"/>
        <v>10.2</v>
      </c>
      <c r="K23" s="168">
        <f t="shared" si="2"/>
        <v>18.939999999999998</v>
      </c>
    </row>
    <row r="24" spans="1:11" s="26" customFormat="1" ht="15.75">
      <c r="A24" s="80">
        <v>21</v>
      </c>
      <c r="B24" s="45" t="s">
        <v>134</v>
      </c>
      <c r="C24" s="165" t="s">
        <v>32</v>
      </c>
      <c r="D24" s="47">
        <v>2011</v>
      </c>
      <c r="E24" s="78">
        <v>2</v>
      </c>
      <c r="F24" s="73">
        <f>10-2.56</f>
        <v>7.4399999999999995</v>
      </c>
      <c r="G24" s="83">
        <f t="shared" si="0"/>
        <v>9.44</v>
      </c>
      <c r="H24" s="55">
        <v>2</v>
      </c>
      <c r="I24" s="73">
        <f>10-2.6</f>
        <v>7.4</v>
      </c>
      <c r="J24" s="83">
        <f t="shared" si="1"/>
        <v>9.4</v>
      </c>
      <c r="K24" s="168">
        <f t="shared" si="2"/>
        <v>18.84</v>
      </c>
    </row>
    <row r="25" spans="1:11" s="26" customFormat="1" ht="15.75">
      <c r="A25" s="80">
        <v>22</v>
      </c>
      <c r="B25" s="131" t="s">
        <v>139</v>
      </c>
      <c r="C25" s="163" t="s">
        <v>42</v>
      </c>
      <c r="D25" s="47">
        <v>2011</v>
      </c>
      <c r="E25" s="78">
        <v>2</v>
      </c>
      <c r="F25" s="73">
        <f>10-3.16</f>
        <v>6.84</v>
      </c>
      <c r="G25" s="83">
        <f t="shared" si="0"/>
        <v>8.84</v>
      </c>
      <c r="H25" s="55">
        <v>2</v>
      </c>
      <c r="I25" s="73">
        <f>10-2.05</f>
        <v>7.95</v>
      </c>
      <c r="J25" s="83">
        <f t="shared" si="1"/>
        <v>9.95</v>
      </c>
      <c r="K25" s="168">
        <f t="shared" si="2"/>
        <v>18.79</v>
      </c>
    </row>
    <row r="26" spans="1:11" s="26" customFormat="1" ht="16.5" thickBot="1">
      <c r="A26" s="115">
        <v>23</v>
      </c>
      <c r="B26" s="210" t="s">
        <v>132</v>
      </c>
      <c r="C26" s="244" t="s">
        <v>13</v>
      </c>
      <c r="D26" s="132">
        <v>2011</v>
      </c>
      <c r="E26" s="79">
        <v>2</v>
      </c>
      <c r="F26" s="74">
        <f>10-3.16</f>
        <v>6.84</v>
      </c>
      <c r="G26" s="204">
        <f t="shared" si="0"/>
        <v>8.84</v>
      </c>
      <c r="H26" s="58">
        <v>2</v>
      </c>
      <c r="I26" s="74">
        <f>10-2.1</f>
        <v>7.9</v>
      </c>
      <c r="J26" s="204">
        <f t="shared" si="1"/>
        <v>9.9</v>
      </c>
      <c r="K26" s="205">
        <f t="shared" si="2"/>
        <v>18.740000000000002</v>
      </c>
    </row>
    <row r="27" spans="1:11" s="28" customFormat="1" ht="14.25">
      <c r="A27" s="30"/>
      <c r="B27" s="34"/>
      <c r="C27" s="34"/>
      <c r="D27" s="35"/>
      <c r="E27" s="34"/>
      <c r="F27" s="34"/>
      <c r="G27" s="7"/>
      <c r="H27" s="34"/>
      <c r="I27" s="34"/>
      <c r="J27" s="7"/>
      <c r="K27" s="169"/>
    </row>
    <row r="28" spans="1:11" s="28" customFormat="1" ht="14.25">
      <c r="A28" s="30"/>
      <c r="B28" s="34"/>
      <c r="C28" s="34"/>
      <c r="D28" s="35"/>
      <c r="E28" s="34"/>
      <c r="F28" s="34"/>
      <c r="G28" s="7"/>
      <c r="H28" s="34"/>
      <c r="I28" s="34"/>
      <c r="J28" s="7"/>
      <c r="K28" s="169"/>
    </row>
  </sheetData>
  <sheetProtection/>
  <mergeCells count="7">
    <mergeCell ref="K2:K3"/>
    <mergeCell ref="A2:A3"/>
    <mergeCell ref="B2:B3"/>
    <mergeCell ref="D2:D3"/>
    <mergeCell ref="C2:C3"/>
    <mergeCell ref="E2:G2"/>
    <mergeCell ref="H2:J2"/>
  </mergeCells>
  <printOptions horizontalCentered="1"/>
  <pageMargins left="0.1968503937007874" right="0.1968503937007874" top="0.5511811023622047" bottom="0.984251968503937" header="0.31496062992125984" footer="0.5118110236220472"/>
  <pageSetup fitToWidth="0" fitToHeight="1" horizontalDpi="600" verticalDpi="600" orientation="landscape" paperSize="9" r:id="rId2"/>
  <headerFooter>
    <oddHeader>&amp;C5. ROČNÍK "POHÁDKOVÉHO ZÁVODU" 22.4.2018 V JIČÍNĚ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tabColor rgb="FF00B050"/>
    <pageSetUpPr fitToPage="1"/>
  </sheetPr>
  <dimension ref="A1:P30"/>
  <sheetViews>
    <sheetView zoomScalePageLayoutView="0" workbookViewId="0" topLeftCell="A13">
      <selection activeCell="Q29" sqref="Q29"/>
    </sheetView>
  </sheetViews>
  <sheetFormatPr defaultColWidth="9.00390625" defaultRowHeight="12.75"/>
  <cols>
    <col min="1" max="1" width="4.25390625" style="9" customWidth="1"/>
    <col min="2" max="2" width="22.125" style="9" customWidth="1"/>
    <col min="3" max="3" width="26.75390625" style="9" customWidth="1"/>
    <col min="4" max="4" width="7.25390625" style="9" bestFit="1" customWidth="1"/>
    <col min="5" max="5" width="11.00390625" style="10" customWidth="1"/>
    <col min="6" max="6" width="11.00390625" style="11" customWidth="1"/>
    <col min="7" max="7" width="11.00390625" style="12" customWidth="1"/>
    <col min="8" max="8" width="11.00390625" style="11" customWidth="1"/>
    <col min="9" max="9" width="11.00390625" style="13" customWidth="1"/>
    <col min="10" max="10" width="11.00390625" style="9" customWidth="1"/>
    <col min="11" max="11" width="9.375" style="179" customWidth="1"/>
    <col min="12" max="16384" width="9.125" style="9" customWidth="1"/>
  </cols>
  <sheetData>
    <row r="1" spans="1:11" s="23" customFormat="1" ht="18.75" thickBot="1">
      <c r="A1" s="1" t="s">
        <v>141</v>
      </c>
      <c r="B1" s="20"/>
      <c r="C1" s="20"/>
      <c r="D1" s="20"/>
      <c r="E1" s="20"/>
      <c r="F1" s="20"/>
      <c r="G1" s="22"/>
      <c r="H1" s="20"/>
      <c r="I1" s="20"/>
      <c r="J1" s="22"/>
      <c r="K1" s="22"/>
    </row>
    <row r="2" spans="1:11" s="26" customFormat="1" ht="16.5" thickBot="1">
      <c r="A2" s="259"/>
      <c r="B2" s="261" t="s">
        <v>57</v>
      </c>
      <c r="C2" s="273" t="s">
        <v>0</v>
      </c>
      <c r="D2" s="265" t="s">
        <v>3</v>
      </c>
      <c r="E2" s="267" t="s">
        <v>1</v>
      </c>
      <c r="F2" s="267"/>
      <c r="G2" s="269"/>
      <c r="H2" s="268" t="s">
        <v>5</v>
      </c>
      <c r="I2" s="267"/>
      <c r="J2" s="267"/>
      <c r="K2" s="257" t="s">
        <v>2</v>
      </c>
    </row>
    <row r="3" spans="1:11" s="27" customFormat="1" ht="30.75" thickBot="1">
      <c r="A3" s="260"/>
      <c r="B3" s="262"/>
      <c r="C3" s="274"/>
      <c r="D3" s="266"/>
      <c r="E3" s="99" t="s">
        <v>6</v>
      </c>
      <c r="F3" s="71" t="s">
        <v>7</v>
      </c>
      <c r="G3" s="37" t="s">
        <v>10</v>
      </c>
      <c r="H3" s="70" t="s">
        <v>6</v>
      </c>
      <c r="I3" s="100" t="s">
        <v>7</v>
      </c>
      <c r="J3" s="250" t="s">
        <v>9</v>
      </c>
      <c r="K3" s="270"/>
    </row>
    <row r="4" spans="1:11" s="62" customFormat="1" ht="15.75" customHeight="1">
      <c r="A4" s="51">
        <v>1</v>
      </c>
      <c r="B4" s="157" t="s">
        <v>71</v>
      </c>
      <c r="C4" s="253" t="s">
        <v>11</v>
      </c>
      <c r="D4" s="41">
        <v>2010</v>
      </c>
      <c r="E4" s="112">
        <v>3</v>
      </c>
      <c r="F4" s="113">
        <f>10-1.3</f>
        <v>8.7</v>
      </c>
      <c r="G4" s="103">
        <f aca="true" t="shared" si="0" ref="G4:G28">SUM(E4:F4)</f>
        <v>11.7</v>
      </c>
      <c r="H4" s="114">
        <v>2.9</v>
      </c>
      <c r="I4" s="113">
        <f>10-1.2</f>
        <v>8.8</v>
      </c>
      <c r="J4" s="106">
        <f aca="true" t="shared" si="1" ref="J4:J28">SUM(H4:I4)</f>
        <v>11.700000000000001</v>
      </c>
      <c r="K4" s="171">
        <f aca="true" t="shared" si="2" ref="K4:K28">J4+G4</f>
        <v>23.4</v>
      </c>
    </row>
    <row r="5" spans="1:16" s="64" customFormat="1" ht="20.25">
      <c r="A5" s="54">
        <v>2</v>
      </c>
      <c r="B5" s="45" t="s">
        <v>70</v>
      </c>
      <c r="C5" s="89" t="s">
        <v>20</v>
      </c>
      <c r="D5" s="47">
        <v>2010</v>
      </c>
      <c r="E5" s="107">
        <v>2.9</v>
      </c>
      <c r="F5" s="108">
        <f>10-1.25</f>
        <v>8.75</v>
      </c>
      <c r="G5" s="105">
        <f t="shared" si="0"/>
        <v>11.65</v>
      </c>
      <c r="H5" s="107">
        <v>2.8</v>
      </c>
      <c r="I5" s="108">
        <f>10-1.2</f>
        <v>8.8</v>
      </c>
      <c r="J5" s="110">
        <f t="shared" si="1"/>
        <v>11.600000000000001</v>
      </c>
      <c r="K5" s="172">
        <f t="shared" si="2"/>
        <v>23.25</v>
      </c>
      <c r="M5" s="120"/>
      <c r="N5" s="120"/>
      <c r="O5"/>
      <c r="P5"/>
    </row>
    <row r="6" spans="1:16" s="64" customFormat="1" ht="18.75" customHeight="1">
      <c r="A6" s="54">
        <v>3</v>
      </c>
      <c r="B6" s="45" t="s">
        <v>39</v>
      </c>
      <c r="C6" s="89" t="s">
        <v>23</v>
      </c>
      <c r="D6" s="47">
        <v>2010</v>
      </c>
      <c r="E6" s="107">
        <v>3.1</v>
      </c>
      <c r="F6" s="108">
        <f>10-1.6</f>
        <v>8.4</v>
      </c>
      <c r="G6" s="105">
        <f t="shared" si="0"/>
        <v>11.5</v>
      </c>
      <c r="H6" s="107">
        <v>2.9</v>
      </c>
      <c r="I6" s="108">
        <f>10-1.65</f>
        <v>8.35</v>
      </c>
      <c r="J6" s="110">
        <f t="shared" si="1"/>
        <v>11.25</v>
      </c>
      <c r="K6" s="172">
        <f t="shared" si="2"/>
        <v>22.75</v>
      </c>
      <c r="M6"/>
      <c r="N6"/>
      <c r="O6"/>
      <c r="P6" s="120"/>
    </row>
    <row r="7" spans="1:13" s="64" customFormat="1" ht="15.75">
      <c r="A7" s="54">
        <v>4</v>
      </c>
      <c r="B7" s="45" t="s">
        <v>166</v>
      </c>
      <c r="C7" s="89" t="s">
        <v>25</v>
      </c>
      <c r="D7" s="47">
        <v>2010</v>
      </c>
      <c r="E7" s="107">
        <v>2.8</v>
      </c>
      <c r="F7" s="108">
        <f>10-2.05</f>
        <v>7.95</v>
      </c>
      <c r="G7" s="105">
        <f t="shared" si="0"/>
        <v>10.75</v>
      </c>
      <c r="H7" s="107">
        <v>2.7</v>
      </c>
      <c r="I7" s="108">
        <f>10-1.1</f>
        <v>8.9</v>
      </c>
      <c r="J7" s="110">
        <f t="shared" si="1"/>
        <v>11.600000000000001</v>
      </c>
      <c r="K7" s="172">
        <f t="shared" si="2"/>
        <v>22.35</v>
      </c>
      <c r="M7" s="119"/>
    </row>
    <row r="8" spans="1:13" s="64" customFormat="1" ht="15.75">
      <c r="A8" s="54">
        <v>5</v>
      </c>
      <c r="B8" s="131" t="s">
        <v>40</v>
      </c>
      <c r="C8" s="89" t="s">
        <v>23</v>
      </c>
      <c r="D8" s="47">
        <v>2010</v>
      </c>
      <c r="E8" s="107">
        <v>3.1</v>
      </c>
      <c r="F8" s="108">
        <f>10-1.55</f>
        <v>8.45</v>
      </c>
      <c r="G8" s="105">
        <f t="shared" si="0"/>
        <v>11.549999999999999</v>
      </c>
      <c r="H8" s="107">
        <v>2.4</v>
      </c>
      <c r="I8" s="108">
        <f>10-2.15</f>
        <v>7.85</v>
      </c>
      <c r="J8" s="110">
        <f t="shared" si="1"/>
        <v>10.25</v>
      </c>
      <c r="K8" s="172">
        <f t="shared" si="2"/>
        <v>21.799999999999997</v>
      </c>
      <c r="M8" s="119"/>
    </row>
    <row r="9" spans="1:13" s="64" customFormat="1" ht="15.75">
      <c r="A9" s="54">
        <v>6</v>
      </c>
      <c r="B9" s="45" t="s">
        <v>94</v>
      </c>
      <c r="C9" s="89" t="s">
        <v>20</v>
      </c>
      <c r="D9" s="47">
        <v>2010</v>
      </c>
      <c r="E9" s="107">
        <v>3</v>
      </c>
      <c r="F9" s="108">
        <f>10-2.55</f>
        <v>7.45</v>
      </c>
      <c r="G9" s="105">
        <f t="shared" si="0"/>
        <v>10.45</v>
      </c>
      <c r="H9" s="107">
        <v>2.8</v>
      </c>
      <c r="I9" s="108">
        <f>10-1.7</f>
        <v>8.3</v>
      </c>
      <c r="J9" s="110">
        <f t="shared" si="1"/>
        <v>11.100000000000001</v>
      </c>
      <c r="K9" s="172">
        <f t="shared" si="2"/>
        <v>21.55</v>
      </c>
      <c r="M9" s="119"/>
    </row>
    <row r="10" spans="1:13" s="64" customFormat="1" ht="15.75">
      <c r="A10" s="54">
        <v>7</v>
      </c>
      <c r="B10" s="45" t="s">
        <v>176</v>
      </c>
      <c r="C10" s="46" t="s">
        <v>31</v>
      </c>
      <c r="D10" s="47">
        <v>2010</v>
      </c>
      <c r="E10" s="107">
        <v>2.9</v>
      </c>
      <c r="F10" s="108">
        <f>10-2.15</f>
        <v>7.85</v>
      </c>
      <c r="G10" s="105">
        <f t="shared" si="0"/>
        <v>10.75</v>
      </c>
      <c r="H10" s="107">
        <v>2.8</v>
      </c>
      <c r="I10" s="108">
        <f>10-2.35</f>
        <v>7.65</v>
      </c>
      <c r="J10" s="110">
        <f t="shared" si="1"/>
        <v>10.45</v>
      </c>
      <c r="K10" s="172">
        <f t="shared" si="2"/>
        <v>21.2</v>
      </c>
      <c r="M10" s="119"/>
    </row>
    <row r="11" spans="1:13" s="64" customFormat="1" ht="15.75">
      <c r="A11" s="54">
        <v>8</v>
      </c>
      <c r="B11" s="45" t="s">
        <v>64</v>
      </c>
      <c r="C11" s="89" t="s">
        <v>25</v>
      </c>
      <c r="D11" s="47">
        <v>2010</v>
      </c>
      <c r="E11" s="107">
        <v>2.8</v>
      </c>
      <c r="F11" s="108">
        <f>10-2.55</f>
        <v>7.45</v>
      </c>
      <c r="G11" s="105">
        <f t="shared" si="0"/>
        <v>10.25</v>
      </c>
      <c r="H11" s="107">
        <v>2.7</v>
      </c>
      <c r="I11" s="108">
        <f>10-1.8</f>
        <v>8.2</v>
      </c>
      <c r="J11" s="110">
        <f t="shared" si="1"/>
        <v>10.899999999999999</v>
      </c>
      <c r="K11" s="172">
        <f t="shared" si="2"/>
        <v>21.15</v>
      </c>
      <c r="M11" s="119"/>
    </row>
    <row r="12" spans="1:11" s="64" customFormat="1" ht="15.75">
      <c r="A12" s="54">
        <v>9</v>
      </c>
      <c r="B12" s="45" t="s">
        <v>178</v>
      </c>
      <c r="C12" s="89" t="s">
        <v>31</v>
      </c>
      <c r="D12" s="47">
        <v>2010</v>
      </c>
      <c r="E12" s="107">
        <v>2.9</v>
      </c>
      <c r="F12" s="108">
        <f>10-2.8</f>
        <v>7.2</v>
      </c>
      <c r="G12" s="105">
        <f t="shared" si="0"/>
        <v>10.1</v>
      </c>
      <c r="H12" s="107">
        <v>2.8</v>
      </c>
      <c r="I12" s="108">
        <f>10-2</f>
        <v>8</v>
      </c>
      <c r="J12" s="110">
        <f t="shared" si="1"/>
        <v>10.8</v>
      </c>
      <c r="K12" s="172">
        <f t="shared" si="2"/>
        <v>20.9</v>
      </c>
    </row>
    <row r="13" spans="1:11" s="64" customFormat="1" ht="15.75">
      <c r="A13" s="54">
        <v>10</v>
      </c>
      <c r="B13" s="45" t="s">
        <v>72</v>
      </c>
      <c r="C13" s="90" t="s">
        <v>11</v>
      </c>
      <c r="D13" s="47">
        <v>2010</v>
      </c>
      <c r="E13" s="107">
        <v>2.9</v>
      </c>
      <c r="F13" s="108">
        <f>10-2.85</f>
        <v>7.15</v>
      </c>
      <c r="G13" s="105">
        <f t="shared" si="0"/>
        <v>10.05</v>
      </c>
      <c r="H13" s="107">
        <v>2.8</v>
      </c>
      <c r="I13" s="108">
        <f>10-2.05</f>
        <v>7.95</v>
      </c>
      <c r="J13" s="110">
        <f t="shared" si="1"/>
        <v>10.75</v>
      </c>
      <c r="K13" s="172">
        <f t="shared" si="2"/>
        <v>20.8</v>
      </c>
    </row>
    <row r="14" spans="1:11" s="64" customFormat="1" ht="15.75">
      <c r="A14" s="54">
        <v>11</v>
      </c>
      <c r="B14" s="131" t="s">
        <v>43</v>
      </c>
      <c r="C14" s="90" t="s">
        <v>12</v>
      </c>
      <c r="D14" s="47">
        <v>2010</v>
      </c>
      <c r="E14" s="107">
        <v>2.9</v>
      </c>
      <c r="F14" s="108">
        <f>10-3.4</f>
        <v>6.6</v>
      </c>
      <c r="G14" s="105">
        <f t="shared" si="0"/>
        <v>9.5</v>
      </c>
      <c r="H14" s="107">
        <v>2.9</v>
      </c>
      <c r="I14" s="108">
        <f>10-1.65</f>
        <v>8.35</v>
      </c>
      <c r="J14" s="110">
        <f t="shared" si="1"/>
        <v>11.25</v>
      </c>
      <c r="K14" s="172">
        <f t="shared" si="2"/>
        <v>20.75</v>
      </c>
    </row>
    <row r="15" spans="1:11" s="64" customFormat="1" ht="15.75">
      <c r="A15" s="54">
        <v>12</v>
      </c>
      <c r="B15" s="209" t="s">
        <v>41</v>
      </c>
      <c r="C15" s="89" t="s">
        <v>25</v>
      </c>
      <c r="D15" s="47">
        <v>2010</v>
      </c>
      <c r="E15" s="107">
        <v>2.8</v>
      </c>
      <c r="F15" s="108">
        <f>10-2.7</f>
        <v>7.3</v>
      </c>
      <c r="G15" s="105">
        <f t="shared" si="0"/>
        <v>10.1</v>
      </c>
      <c r="H15" s="107">
        <v>2.8</v>
      </c>
      <c r="I15" s="108">
        <f>10-2.45</f>
        <v>7.55</v>
      </c>
      <c r="J15" s="110">
        <f t="shared" si="1"/>
        <v>10.35</v>
      </c>
      <c r="K15" s="172">
        <f t="shared" si="2"/>
        <v>20.45</v>
      </c>
    </row>
    <row r="16" spans="1:11" s="64" customFormat="1" ht="15.75">
      <c r="A16" s="54">
        <v>13</v>
      </c>
      <c r="B16" s="45" t="s">
        <v>191</v>
      </c>
      <c r="C16" s="89" t="s">
        <v>31</v>
      </c>
      <c r="D16" s="47">
        <v>2010</v>
      </c>
      <c r="E16" s="107">
        <v>2.9</v>
      </c>
      <c r="F16" s="108">
        <f>10-2.4</f>
        <v>7.6</v>
      </c>
      <c r="G16" s="105">
        <f t="shared" si="0"/>
        <v>10.5</v>
      </c>
      <c r="H16" s="107">
        <v>2.8</v>
      </c>
      <c r="I16" s="108">
        <f>10-2.95</f>
        <v>7.05</v>
      </c>
      <c r="J16" s="110">
        <f t="shared" si="1"/>
        <v>9.85</v>
      </c>
      <c r="K16" s="172">
        <f t="shared" si="2"/>
        <v>20.35</v>
      </c>
    </row>
    <row r="17" spans="1:11" s="64" customFormat="1" ht="15.75">
      <c r="A17" s="54">
        <v>14</v>
      </c>
      <c r="B17" s="166" t="s">
        <v>146</v>
      </c>
      <c r="C17" s="89" t="s">
        <v>42</v>
      </c>
      <c r="D17" s="47">
        <v>2010</v>
      </c>
      <c r="E17" s="107">
        <v>3</v>
      </c>
      <c r="F17" s="108">
        <f>10-3.9</f>
        <v>6.1</v>
      </c>
      <c r="G17" s="105">
        <f t="shared" si="0"/>
        <v>9.1</v>
      </c>
      <c r="H17" s="107">
        <v>2.8</v>
      </c>
      <c r="I17" s="108">
        <f>10-1.75</f>
        <v>8.25</v>
      </c>
      <c r="J17" s="110">
        <f t="shared" si="1"/>
        <v>11.05</v>
      </c>
      <c r="K17" s="172">
        <f t="shared" si="2"/>
        <v>20.15</v>
      </c>
    </row>
    <row r="18" spans="1:11" s="64" customFormat="1" ht="15.75">
      <c r="A18" s="54">
        <v>15</v>
      </c>
      <c r="B18" s="209" t="s">
        <v>95</v>
      </c>
      <c r="C18" s="89" t="s">
        <v>20</v>
      </c>
      <c r="D18" s="47">
        <v>2010</v>
      </c>
      <c r="E18" s="107">
        <v>2.9</v>
      </c>
      <c r="F18" s="108">
        <f>10-2.9</f>
        <v>7.1</v>
      </c>
      <c r="G18" s="105">
        <f t="shared" si="0"/>
        <v>10</v>
      </c>
      <c r="H18" s="107">
        <v>2.8</v>
      </c>
      <c r="I18" s="108">
        <f>10-2.7</f>
        <v>7.3</v>
      </c>
      <c r="J18" s="110">
        <f t="shared" si="1"/>
        <v>10.1</v>
      </c>
      <c r="K18" s="172">
        <f t="shared" si="2"/>
        <v>20.1</v>
      </c>
    </row>
    <row r="19" spans="1:11" s="64" customFormat="1" ht="15.75">
      <c r="A19" s="54">
        <v>16</v>
      </c>
      <c r="B19" s="45" t="s">
        <v>144</v>
      </c>
      <c r="C19" s="89" t="s">
        <v>42</v>
      </c>
      <c r="D19" s="47">
        <v>2010</v>
      </c>
      <c r="E19" s="107">
        <v>3</v>
      </c>
      <c r="F19" s="108">
        <f>10-3.45</f>
        <v>6.55</v>
      </c>
      <c r="G19" s="105">
        <f t="shared" si="0"/>
        <v>9.55</v>
      </c>
      <c r="H19" s="107">
        <v>2.3</v>
      </c>
      <c r="I19" s="108">
        <f>10-2.1</f>
        <v>7.9</v>
      </c>
      <c r="J19" s="110">
        <f t="shared" si="1"/>
        <v>10.2</v>
      </c>
      <c r="K19" s="172">
        <f t="shared" si="2"/>
        <v>19.75</v>
      </c>
    </row>
    <row r="20" spans="1:11" s="64" customFormat="1" ht="15.75">
      <c r="A20" s="54">
        <v>17</v>
      </c>
      <c r="B20" s="131" t="s">
        <v>58</v>
      </c>
      <c r="C20" s="90" t="s">
        <v>12</v>
      </c>
      <c r="D20" s="47">
        <v>2010</v>
      </c>
      <c r="E20" s="107">
        <v>3</v>
      </c>
      <c r="F20" s="108">
        <f>10-4.15</f>
        <v>5.85</v>
      </c>
      <c r="G20" s="105">
        <f t="shared" si="0"/>
        <v>8.85</v>
      </c>
      <c r="H20" s="107">
        <v>2.8</v>
      </c>
      <c r="I20" s="108">
        <f>10-1.95</f>
        <v>8.05</v>
      </c>
      <c r="J20" s="110">
        <f t="shared" si="1"/>
        <v>10.850000000000001</v>
      </c>
      <c r="K20" s="172">
        <f t="shared" si="2"/>
        <v>19.700000000000003</v>
      </c>
    </row>
    <row r="21" spans="1:11" s="64" customFormat="1" ht="15.75">
      <c r="A21" s="54">
        <v>18</v>
      </c>
      <c r="B21" s="166" t="s">
        <v>145</v>
      </c>
      <c r="C21" s="89" t="s">
        <v>42</v>
      </c>
      <c r="D21" s="47">
        <v>2010</v>
      </c>
      <c r="E21" s="107">
        <v>3</v>
      </c>
      <c r="F21" s="108">
        <f>10-4.05</f>
        <v>5.95</v>
      </c>
      <c r="G21" s="105">
        <f t="shared" si="0"/>
        <v>8.95</v>
      </c>
      <c r="H21" s="107">
        <v>2.8</v>
      </c>
      <c r="I21" s="108">
        <f>10-2.4</f>
        <v>7.6</v>
      </c>
      <c r="J21" s="110">
        <f t="shared" si="1"/>
        <v>10.399999999999999</v>
      </c>
      <c r="K21" s="172">
        <f t="shared" si="2"/>
        <v>19.349999999999998</v>
      </c>
    </row>
    <row r="22" spans="1:11" s="64" customFormat="1" ht="15.75">
      <c r="A22" s="54">
        <v>19</v>
      </c>
      <c r="B22" s="166" t="s">
        <v>99</v>
      </c>
      <c r="C22" s="93" t="s">
        <v>32</v>
      </c>
      <c r="D22" s="47">
        <v>2010</v>
      </c>
      <c r="E22" s="107">
        <v>2.7</v>
      </c>
      <c r="F22" s="108">
        <f>10-2.4</f>
        <v>7.6</v>
      </c>
      <c r="G22" s="105">
        <f t="shared" si="0"/>
        <v>10.3</v>
      </c>
      <c r="H22" s="107">
        <v>1.5</v>
      </c>
      <c r="I22" s="108">
        <f>10-2.75</f>
        <v>7.25</v>
      </c>
      <c r="J22" s="110">
        <f t="shared" si="1"/>
        <v>8.75</v>
      </c>
      <c r="K22" s="172">
        <f t="shared" si="2"/>
        <v>19.05</v>
      </c>
    </row>
    <row r="23" spans="1:11" s="64" customFormat="1" ht="15.75">
      <c r="A23" s="54">
        <v>20</v>
      </c>
      <c r="B23" s="131" t="s">
        <v>74</v>
      </c>
      <c r="C23" s="89" t="s">
        <v>42</v>
      </c>
      <c r="D23" s="47">
        <v>2010</v>
      </c>
      <c r="E23" s="107">
        <v>2.9</v>
      </c>
      <c r="F23" s="108">
        <f>10-2.85</f>
        <v>7.15</v>
      </c>
      <c r="G23" s="105">
        <f t="shared" si="0"/>
        <v>10.05</v>
      </c>
      <c r="H23" s="107">
        <v>1.8</v>
      </c>
      <c r="I23" s="108">
        <f>10-3</f>
        <v>7</v>
      </c>
      <c r="J23" s="110">
        <f t="shared" si="1"/>
        <v>8.8</v>
      </c>
      <c r="K23" s="172">
        <f t="shared" si="2"/>
        <v>18.85</v>
      </c>
    </row>
    <row r="24" spans="1:11" s="64" customFormat="1" ht="15.75">
      <c r="A24" s="54">
        <v>21</v>
      </c>
      <c r="B24" s="166" t="s">
        <v>142</v>
      </c>
      <c r="C24" s="89" t="s">
        <v>20</v>
      </c>
      <c r="D24" s="47">
        <v>2010</v>
      </c>
      <c r="E24" s="107">
        <v>2.9</v>
      </c>
      <c r="F24" s="108">
        <f>10-3.85</f>
        <v>6.15</v>
      </c>
      <c r="G24" s="105">
        <f t="shared" si="0"/>
        <v>9.05</v>
      </c>
      <c r="H24" s="107">
        <v>2.8</v>
      </c>
      <c r="I24" s="108">
        <f>10-3</f>
        <v>7</v>
      </c>
      <c r="J24" s="110">
        <f t="shared" si="1"/>
        <v>9.8</v>
      </c>
      <c r="K24" s="172">
        <f t="shared" si="2"/>
        <v>18.85</v>
      </c>
    </row>
    <row r="25" spans="1:11" s="64" customFormat="1" ht="15.75">
      <c r="A25" s="54">
        <v>22</v>
      </c>
      <c r="B25" s="131" t="s">
        <v>73</v>
      </c>
      <c r="C25" s="89" t="s">
        <v>42</v>
      </c>
      <c r="D25" s="47">
        <v>2010</v>
      </c>
      <c r="E25" s="107">
        <v>3</v>
      </c>
      <c r="F25" s="108">
        <f>10-3.8</f>
        <v>6.2</v>
      </c>
      <c r="G25" s="105">
        <f>SUM(E25:F25)</f>
        <v>9.2</v>
      </c>
      <c r="H25" s="107">
        <v>2.3</v>
      </c>
      <c r="I25" s="108">
        <f>10-2.7</f>
        <v>7.3</v>
      </c>
      <c r="J25" s="110">
        <f>SUM(H25:I25)</f>
        <v>9.6</v>
      </c>
      <c r="K25" s="172">
        <f>J25+G25</f>
        <v>18.799999999999997</v>
      </c>
    </row>
    <row r="26" spans="1:11" s="64" customFormat="1" ht="15.75">
      <c r="A26" s="54">
        <v>23</v>
      </c>
      <c r="B26" s="45" t="s">
        <v>143</v>
      </c>
      <c r="C26" s="89" t="s">
        <v>20</v>
      </c>
      <c r="D26" s="47">
        <v>2010</v>
      </c>
      <c r="E26" s="107">
        <v>3</v>
      </c>
      <c r="F26" s="108">
        <f>10-4.25</f>
        <v>5.75</v>
      </c>
      <c r="G26" s="105">
        <f>SUM(E26:F26)</f>
        <v>8.75</v>
      </c>
      <c r="H26" s="107">
        <v>2.8</v>
      </c>
      <c r="I26" s="108">
        <f>10-2.75</f>
        <v>7.25</v>
      </c>
      <c r="J26" s="110">
        <f>SUM(H26:I26)</f>
        <v>10.05</v>
      </c>
      <c r="K26" s="172">
        <f>J26+G26</f>
        <v>18.8</v>
      </c>
    </row>
    <row r="27" spans="1:11" s="64" customFormat="1" ht="15.75">
      <c r="A27" s="54">
        <v>24</v>
      </c>
      <c r="B27" s="45" t="s">
        <v>177</v>
      </c>
      <c r="C27" s="89" t="s">
        <v>31</v>
      </c>
      <c r="D27" s="47">
        <v>2010</v>
      </c>
      <c r="E27" s="107">
        <v>2.9</v>
      </c>
      <c r="F27" s="108">
        <f>10-4.45</f>
        <v>5.55</v>
      </c>
      <c r="G27" s="105">
        <f t="shared" si="0"/>
        <v>8.45</v>
      </c>
      <c r="H27" s="107">
        <v>2.8</v>
      </c>
      <c r="I27" s="108">
        <f>10-2.95</f>
        <v>7.05</v>
      </c>
      <c r="J27" s="110">
        <f t="shared" si="1"/>
        <v>9.85</v>
      </c>
      <c r="K27" s="172">
        <f t="shared" si="2"/>
        <v>18.299999999999997</v>
      </c>
    </row>
    <row r="28" spans="1:11" s="64" customFormat="1" ht="16.5" thickBot="1">
      <c r="A28" s="57">
        <v>25</v>
      </c>
      <c r="B28" s="210" t="s">
        <v>56</v>
      </c>
      <c r="C28" s="111" t="s">
        <v>12</v>
      </c>
      <c r="D28" s="132">
        <v>2010</v>
      </c>
      <c r="E28" s="196">
        <v>2.9</v>
      </c>
      <c r="F28" s="197">
        <f>6-3.9</f>
        <v>2.1</v>
      </c>
      <c r="G28" s="198">
        <f t="shared" si="0"/>
        <v>5</v>
      </c>
      <c r="H28" s="251">
        <v>2.8</v>
      </c>
      <c r="I28" s="252">
        <f>10-3.2</f>
        <v>6.8</v>
      </c>
      <c r="J28" s="254">
        <f t="shared" si="1"/>
        <v>9.6</v>
      </c>
      <c r="K28" s="255">
        <f t="shared" si="2"/>
        <v>14.6</v>
      </c>
    </row>
    <row r="29" spans="5:11" s="31" customFormat="1" ht="14.25">
      <c r="E29" s="32"/>
      <c r="F29" s="13"/>
      <c r="G29" s="33"/>
      <c r="H29" s="13"/>
      <c r="I29" s="13"/>
      <c r="K29" s="174"/>
    </row>
    <row r="30" spans="5:11" s="31" customFormat="1" ht="14.25">
      <c r="E30" s="32"/>
      <c r="F30" s="13"/>
      <c r="G30" s="33"/>
      <c r="H30" s="13"/>
      <c r="I30" s="13"/>
      <c r="K30" s="174"/>
    </row>
  </sheetData>
  <sheetProtection/>
  <mergeCells count="7">
    <mergeCell ref="K2:K3"/>
    <mergeCell ref="D2:D3"/>
    <mergeCell ref="A2:A3"/>
    <mergeCell ref="B2:B3"/>
    <mergeCell ref="C2:C3"/>
    <mergeCell ref="E2:G2"/>
    <mergeCell ref="H2:J2"/>
  </mergeCells>
  <printOptions horizontalCentered="1"/>
  <pageMargins left="0.1968503937007874" right="0.1968503937007874" top="0.5511811023622047" bottom="0.984251968503937" header="0.31496062992125984" footer="0.5118110236220472"/>
  <pageSetup fitToWidth="0" fitToHeight="1" horizontalDpi="600" verticalDpi="600" orientation="landscape" paperSize="9" r:id="rId2"/>
  <headerFooter>
    <oddHeader>&amp;C5. ROČNÍK "POHÁDKOVÉHO ZÁVODU" 22.4.2018 V JIČÍNĚ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00390625" style="0" customWidth="1"/>
    <col min="2" max="2" width="23.375" style="0" customWidth="1"/>
    <col min="3" max="3" width="22.125" style="0" customWidth="1"/>
    <col min="4" max="4" width="8.125" style="0" customWidth="1"/>
    <col min="11" max="11" width="9.125" style="175" customWidth="1"/>
  </cols>
  <sheetData>
    <row r="1" spans="1:12" ht="18.75" thickBot="1">
      <c r="A1" s="1" t="s">
        <v>102</v>
      </c>
      <c r="B1" s="20"/>
      <c r="C1" s="20"/>
      <c r="D1" s="20"/>
      <c r="E1" s="20"/>
      <c r="F1" s="20"/>
      <c r="G1" s="22"/>
      <c r="H1" s="20"/>
      <c r="I1" s="20"/>
      <c r="J1" s="22"/>
      <c r="K1" s="22"/>
      <c r="L1" s="23"/>
    </row>
    <row r="2" spans="1:12" ht="16.5" thickBot="1">
      <c r="A2" s="259"/>
      <c r="B2" s="261" t="s">
        <v>57</v>
      </c>
      <c r="C2" s="273" t="s">
        <v>0</v>
      </c>
      <c r="D2" s="265" t="s">
        <v>3</v>
      </c>
      <c r="E2" s="267" t="s">
        <v>1</v>
      </c>
      <c r="F2" s="267"/>
      <c r="G2" s="269"/>
      <c r="H2" s="268" t="s">
        <v>5</v>
      </c>
      <c r="I2" s="267"/>
      <c r="J2" s="267"/>
      <c r="K2" s="257" t="s">
        <v>2</v>
      </c>
      <c r="L2" s="26"/>
    </row>
    <row r="3" spans="1:12" ht="30.75" thickBot="1">
      <c r="A3" s="271"/>
      <c r="B3" s="275"/>
      <c r="C3" s="274"/>
      <c r="D3" s="266"/>
      <c r="E3" s="99" t="s">
        <v>6</v>
      </c>
      <c r="F3" s="71" t="s">
        <v>7</v>
      </c>
      <c r="G3" s="37" t="s">
        <v>10</v>
      </c>
      <c r="H3" s="69" t="s">
        <v>6</v>
      </c>
      <c r="I3" s="71" t="s">
        <v>7</v>
      </c>
      <c r="J3" s="39" t="s">
        <v>9</v>
      </c>
      <c r="K3" s="258"/>
      <c r="L3" s="27"/>
    </row>
    <row r="4" spans="1:12" ht="15.75">
      <c r="A4" s="51">
        <v>1</v>
      </c>
      <c r="B4" s="208" t="s">
        <v>46</v>
      </c>
      <c r="C4" s="189" t="s">
        <v>32</v>
      </c>
      <c r="D4" s="41">
        <v>2009</v>
      </c>
      <c r="E4" s="114">
        <v>3.1</v>
      </c>
      <c r="F4" s="113">
        <f>10-1.65</f>
        <v>8.35</v>
      </c>
      <c r="G4" s="103">
        <f aca="true" t="shared" si="0" ref="G4:G22">+E4+F4</f>
        <v>11.45</v>
      </c>
      <c r="H4" s="114">
        <v>3</v>
      </c>
      <c r="I4" s="113">
        <f>10-1.45</f>
        <v>8.55</v>
      </c>
      <c r="J4" s="106">
        <f aca="true" t="shared" si="1" ref="J4:J22">+H4+I4</f>
        <v>11.55</v>
      </c>
      <c r="K4" s="171">
        <f aca="true" t="shared" si="2" ref="K4:K22">J4+G4</f>
        <v>23</v>
      </c>
      <c r="L4" s="62"/>
    </row>
    <row r="5" spans="1:12" ht="15.75">
      <c r="A5" s="54">
        <v>2</v>
      </c>
      <c r="B5" s="166" t="s">
        <v>27</v>
      </c>
      <c r="C5" s="163" t="s">
        <v>25</v>
      </c>
      <c r="D5" s="47">
        <v>2009</v>
      </c>
      <c r="E5" s="107">
        <v>2.9</v>
      </c>
      <c r="F5" s="108">
        <f>10-1.75</f>
        <v>8.25</v>
      </c>
      <c r="G5" s="105">
        <f t="shared" si="0"/>
        <v>11.15</v>
      </c>
      <c r="H5" s="109">
        <v>2.7</v>
      </c>
      <c r="I5" s="108">
        <f>10-1.1</f>
        <v>8.9</v>
      </c>
      <c r="J5" s="110">
        <f t="shared" si="1"/>
        <v>11.600000000000001</v>
      </c>
      <c r="K5" s="172">
        <f t="shared" si="2"/>
        <v>22.75</v>
      </c>
      <c r="L5" s="64"/>
    </row>
    <row r="6" spans="1:12" ht="15.75">
      <c r="A6" s="54">
        <v>3</v>
      </c>
      <c r="B6" s="45" t="s">
        <v>84</v>
      </c>
      <c r="C6" s="206" t="s">
        <v>12</v>
      </c>
      <c r="D6" s="140">
        <v>2009</v>
      </c>
      <c r="E6" s="107">
        <v>3</v>
      </c>
      <c r="F6" s="108">
        <f>10-1.9</f>
        <v>8.1</v>
      </c>
      <c r="G6" s="105">
        <f t="shared" si="0"/>
        <v>11.1</v>
      </c>
      <c r="H6" s="109">
        <v>2.9</v>
      </c>
      <c r="I6" s="108">
        <f>10-1.45</f>
        <v>8.55</v>
      </c>
      <c r="J6" s="110">
        <f t="shared" si="1"/>
        <v>11.450000000000001</v>
      </c>
      <c r="K6" s="172">
        <f t="shared" si="2"/>
        <v>22.55</v>
      </c>
      <c r="L6" s="64"/>
    </row>
    <row r="7" spans="1:12" ht="15.75">
      <c r="A7" s="54">
        <v>4</v>
      </c>
      <c r="B7" s="45" t="s">
        <v>174</v>
      </c>
      <c r="C7" s="206" t="s">
        <v>173</v>
      </c>
      <c r="D7" s="140">
        <v>2009</v>
      </c>
      <c r="E7" s="107">
        <v>3</v>
      </c>
      <c r="F7" s="108">
        <f>10-2.4</f>
        <v>7.6</v>
      </c>
      <c r="G7" s="105">
        <f t="shared" si="0"/>
        <v>10.6</v>
      </c>
      <c r="H7" s="109">
        <v>3</v>
      </c>
      <c r="I7" s="108">
        <f>10-1.7</f>
        <v>8.3</v>
      </c>
      <c r="J7" s="110">
        <f t="shared" si="1"/>
        <v>11.3</v>
      </c>
      <c r="K7" s="172">
        <f t="shared" si="2"/>
        <v>21.9</v>
      </c>
      <c r="L7" s="64"/>
    </row>
    <row r="8" spans="1:12" ht="15.75">
      <c r="A8" s="54">
        <v>5</v>
      </c>
      <c r="B8" s="45" t="s">
        <v>28</v>
      </c>
      <c r="C8" s="206" t="s">
        <v>13</v>
      </c>
      <c r="D8" s="47">
        <v>2009</v>
      </c>
      <c r="E8" s="107">
        <v>3</v>
      </c>
      <c r="F8" s="108">
        <f>10-2.1</f>
        <v>7.9</v>
      </c>
      <c r="G8" s="105">
        <f t="shared" si="0"/>
        <v>10.9</v>
      </c>
      <c r="H8" s="109">
        <v>2.8</v>
      </c>
      <c r="I8" s="108">
        <f>10-1.95</f>
        <v>8.05</v>
      </c>
      <c r="J8" s="110">
        <f t="shared" si="1"/>
        <v>10.850000000000001</v>
      </c>
      <c r="K8" s="172">
        <f t="shared" si="2"/>
        <v>21.75</v>
      </c>
      <c r="L8" s="64"/>
    </row>
    <row r="9" spans="1:12" ht="15.75">
      <c r="A9" s="54">
        <v>6</v>
      </c>
      <c r="B9" s="166" t="s">
        <v>168</v>
      </c>
      <c r="C9" s="163" t="s">
        <v>25</v>
      </c>
      <c r="D9" s="47">
        <v>2009</v>
      </c>
      <c r="E9" s="107">
        <v>3</v>
      </c>
      <c r="F9" s="108">
        <f>10-2.4</f>
        <v>7.6</v>
      </c>
      <c r="G9" s="105">
        <f t="shared" si="0"/>
        <v>10.6</v>
      </c>
      <c r="H9" s="109">
        <v>2.9</v>
      </c>
      <c r="I9" s="108">
        <f>10-2.25</f>
        <v>7.75</v>
      </c>
      <c r="J9" s="110">
        <f t="shared" si="1"/>
        <v>10.65</v>
      </c>
      <c r="K9" s="172">
        <f t="shared" si="2"/>
        <v>21.25</v>
      </c>
      <c r="L9" s="64"/>
    </row>
    <row r="10" spans="1:12" ht="15.75">
      <c r="A10" s="54">
        <v>7</v>
      </c>
      <c r="B10" s="45" t="s">
        <v>148</v>
      </c>
      <c r="C10" s="206" t="s">
        <v>11</v>
      </c>
      <c r="D10" s="140">
        <v>2009</v>
      </c>
      <c r="E10" s="107">
        <v>3</v>
      </c>
      <c r="F10" s="108">
        <f>10-3.2</f>
        <v>6.8</v>
      </c>
      <c r="G10" s="105">
        <f t="shared" si="0"/>
        <v>9.8</v>
      </c>
      <c r="H10" s="109">
        <v>2.8</v>
      </c>
      <c r="I10" s="108">
        <f>10-1.5</f>
        <v>8.5</v>
      </c>
      <c r="J10" s="110">
        <f t="shared" si="1"/>
        <v>11.3</v>
      </c>
      <c r="K10" s="172">
        <f t="shared" si="2"/>
        <v>21.1</v>
      </c>
      <c r="L10" s="64"/>
    </row>
    <row r="11" spans="1:13" ht="15.75">
      <c r="A11" s="54">
        <v>8</v>
      </c>
      <c r="B11" s="45" t="s">
        <v>149</v>
      </c>
      <c r="C11" s="206" t="s">
        <v>20</v>
      </c>
      <c r="D11" s="140">
        <v>2009</v>
      </c>
      <c r="E11" s="107">
        <v>3.1</v>
      </c>
      <c r="F11" s="108">
        <f>10-3.45</f>
        <v>6.55</v>
      </c>
      <c r="G11" s="105">
        <f t="shared" si="0"/>
        <v>9.65</v>
      </c>
      <c r="H11" s="109">
        <v>2.9</v>
      </c>
      <c r="I11" s="108">
        <f>10-1.55</f>
        <v>8.45</v>
      </c>
      <c r="J11" s="110">
        <f t="shared" si="1"/>
        <v>11.35</v>
      </c>
      <c r="K11" s="172">
        <f t="shared" si="2"/>
        <v>21</v>
      </c>
      <c r="L11" s="64"/>
      <c r="M11" s="118"/>
    </row>
    <row r="12" spans="1:13" ht="15.75">
      <c r="A12" s="54">
        <v>9</v>
      </c>
      <c r="B12" s="166" t="s">
        <v>24</v>
      </c>
      <c r="C12" s="189" t="s">
        <v>25</v>
      </c>
      <c r="D12" s="47">
        <v>2009</v>
      </c>
      <c r="E12" s="107">
        <v>3</v>
      </c>
      <c r="F12" s="108">
        <f>10-2.45</f>
        <v>7.55</v>
      </c>
      <c r="G12" s="105">
        <f t="shared" si="0"/>
        <v>10.55</v>
      </c>
      <c r="H12" s="109">
        <v>2.8</v>
      </c>
      <c r="I12" s="108">
        <f>10-2.8</f>
        <v>7.2</v>
      </c>
      <c r="J12" s="110">
        <f t="shared" si="1"/>
        <v>10</v>
      </c>
      <c r="K12" s="172">
        <f t="shared" si="2"/>
        <v>20.55</v>
      </c>
      <c r="L12" s="64"/>
      <c r="M12" s="118"/>
    </row>
    <row r="13" spans="1:13" ht="15.75">
      <c r="A13" s="54">
        <v>10</v>
      </c>
      <c r="B13" s="166" t="s">
        <v>195</v>
      </c>
      <c r="C13" s="189" t="s">
        <v>12</v>
      </c>
      <c r="D13" s="47">
        <v>2009</v>
      </c>
      <c r="E13" s="107">
        <v>3</v>
      </c>
      <c r="F13" s="108">
        <f>10-3.3</f>
        <v>6.7</v>
      </c>
      <c r="G13" s="105">
        <f t="shared" si="0"/>
        <v>9.7</v>
      </c>
      <c r="H13" s="109">
        <v>3</v>
      </c>
      <c r="I13" s="108">
        <f>10-2.2</f>
        <v>7.8</v>
      </c>
      <c r="J13" s="110">
        <f t="shared" si="1"/>
        <v>10.8</v>
      </c>
      <c r="K13" s="172">
        <f t="shared" si="2"/>
        <v>20.5</v>
      </c>
      <c r="L13" s="64"/>
      <c r="M13" s="118"/>
    </row>
    <row r="14" spans="1:12" ht="15.75">
      <c r="A14" s="54">
        <v>11</v>
      </c>
      <c r="B14" s="166" t="s">
        <v>167</v>
      </c>
      <c r="C14" s="189" t="s">
        <v>25</v>
      </c>
      <c r="D14" s="47">
        <v>2009</v>
      </c>
      <c r="E14" s="107">
        <v>3</v>
      </c>
      <c r="F14" s="108">
        <f>10-3.3</f>
        <v>6.7</v>
      </c>
      <c r="G14" s="105">
        <f t="shared" si="0"/>
        <v>9.7</v>
      </c>
      <c r="H14" s="109">
        <v>3.1</v>
      </c>
      <c r="I14" s="108">
        <f>10-2.55</f>
        <v>7.45</v>
      </c>
      <c r="J14" s="110">
        <f t="shared" si="1"/>
        <v>10.55</v>
      </c>
      <c r="K14" s="172">
        <f t="shared" si="2"/>
        <v>20.25</v>
      </c>
      <c r="L14" s="64"/>
    </row>
    <row r="15" spans="1:12" ht="15.75">
      <c r="A15" s="54">
        <v>12</v>
      </c>
      <c r="B15" s="45" t="s">
        <v>29</v>
      </c>
      <c r="C15" s="162" t="s">
        <v>13</v>
      </c>
      <c r="D15" s="47">
        <v>2009</v>
      </c>
      <c r="E15" s="107">
        <v>3.1</v>
      </c>
      <c r="F15" s="108">
        <f>10-3.45</f>
        <v>6.55</v>
      </c>
      <c r="G15" s="105">
        <f t="shared" si="0"/>
        <v>9.65</v>
      </c>
      <c r="H15" s="109">
        <v>2.8</v>
      </c>
      <c r="I15" s="108">
        <f>10-2.45</f>
        <v>7.55</v>
      </c>
      <c r="J15" s="110">
        <f t="shared" si="1"/>
        <v>10.35</v>
      </c>
      <c r="K15" s="172">
        <f t="shared" si="2"/>
        <v>20</v>
      </c>
      <c r="L15" s="64"/>
    </row>
    <row r="16" spans="1:12" ht="15.75">
      <c r="A16" s="54">
        <v>13</v>
      </c>
      <c r="B16" s="45" t="s">
        <v>30</v>
      </c>
      <c r="C16" s="206" t="s">
        <v>13</v>
      </c>
      <c r="D16" s="47">
        <v>2009</v>
      </c>
      <c r="E16" s="107">
        <v>3</v>
      </c>
      <c r="F16" s="108">
        <f>10-2.75</f>
        <v>7.25</v>
      </c>
      <c r="G16" s="105">
        <f t="shared" si="0"/>
        <v>10.25</v>
      </c>
      <c r="H16" s="109">
        <v>2.8</v>
      </c>
      <c r="I16" s="108">
        <f>10-3.3</f>
        <v>6.7</v>
      </c>
      <c r="J16" s="110">
        <f t="shared" si="1"/>
        <v>9.5</v>
      </c>
      <c r="K16" s="172">
        <f t="shared" si="2"/>
        <v>19.75</v>
      </c>
      <c r="L16" s="64"/>
    </row>
    <row r="17" spans="1:12" ht="15.75">
      <c r="A17" s="54">
        <v>14</v>
      </c>
      <c r="B17" s="166" t="s">
        <v>96</v>
      </c>
      <c r="C17" s="189" t="s">
        <v>20</v>
      </c>
      <c r="D17" s="47">
        <v>2009</v>
      </c>
      <c r="E17" s="104">
        <v>3</v>
      </c>
      <c r="F17" s="108">
        <f>10-4.05</f>
        <v>5.95</v>
      </c>
      <c r="G17" s="105">
        <f t="shared" si="0"/>
        <v>8.95</v>
      </c>
      <c r="H17" s="109">
        <v>2.8</v>
      </c>
      <c r="I17" s="108">
        <f>10-2.5</f>
        <v>7.5</v>
      </c>
      <c r="J17" s="110">
        <f t="shared" si="1"/>
        <v>10.3</v>
      </c>
      <c r="K17" s="172">
        <f t="shared" si="2"/>
        <v>19.25</v>
      </c>
      <c r="L17" s="64"/>
    </row>
    <row r="18" spans="1:12" ht="15.75">
      <c r="A18" s="54">
        <v>15</v>
      </c>
      <c r="B18" s="45" t="s">
        <v>147</v>
      </c>
      <c r="C18" s="206" t="s">
        <v>13</v>
      </c>
      <c r="D18" s="140">
        <v>2009</v>
      </c>
      <c r="E18" s="107">
        <v>3</v>
      </c>
      <c r="F18" s="108">
        <f>10-4.1</f>
        <v>5.9</v>
      </c>
      <c r="G18" s="105">
        <f t="shared" si="0"/>
        <v>8.9</v>
      </c>
      <c r="H18" s="109">
        <v>2.8</v>
      </c>
      <c r="I18" s="108">
        <f>10-2.55</f>
        <v>7.45</v>
      </c>
      <c r="J18" s="110">
        <f t="shared" si="1"/>
        <v>10.25</v>
      </c>
      <c r="K18" s="172">
        <f t="shared" si="2"/>
        <v>19.15</v>
      </c>
      <c r="L18" s="64"/>
    </row>
    <row r="19" spans="1:12" ht="15.75">
      <c r="A19" s="54">
        <v>16</v>
      </c>
      <c r="B19" s="45" t="s">
        <v>172</v>
      </c>
      <c r="C19" s="206" t="s">
        <v>173</v>
      </c>
      <c r="D19" s="140">
        <v>2009</v>
      </c>
      <c r="E19" s="107">
        <v>3</v>
      </c>
      <c r="F19" s="108">
        <f>10-3.75</f>
        <v>6.25</v>
      </c>
      <c r="G19" s="105">
        <f t="shared" si="0"/>
        <v>9.25</v>
      </c>
      <c r="H19" s="109">
        <v>3</v>
      </c>
      <c r="I19" s="108">
        <f>10-3.3</f>
        <v>6.7</v>
      </c>
      <c r="J19" s="110">
        <f t="shared" si="1"/>
        <v>9.7</v>
      </c>
      <c r="K19" s="172">
        <f t="shared" si="2"/>
        <v>18.95</v>
      </c>
      <c r="L19" s="64"/>
    </row>
    <row r="20" spans="1:12" ht="15.75">
      <c r="A20" s="54">
        <v>17</v>
      </c>
      <c r="B20" s="45" t="s">
        <v>150</v>
      </c>
      <c r="C20" s="189" t="s">
        <v>20</v>
      </c>
      <c r="D20" s="140">
        <v>2009</v>
      </c>
      <c r="E20" s="107">
        <v>2.8</v>
      </c>
      <c r="F20" s="108">
        <f>10-3.85</f>
        <v>6.15</v>
      </c>
      <c r="G20" s="105">
        <f t="shared" si="0"/>
        <v>8.95</v>
      </c>
      <c r="H20" s="109">
        <v>2.8</v>
      </c>
      <c r="I20" s="108">
        <f>10-3</f>
        <v>7</v>
      </c>
      <c r="J20" s="110">
        <f t="shared" si="1"/>
        <v>9.8</v>
      </c>
      <c r="K20" s="172">
        <f t="shared" si="2"/>
        <v>18.75</v>
      </c>
      <c r="L20" s="64"/>
    </row>
    <row r="21" spans="1:12" ht="15.75">
      <c r="A21" s="54">
        <v>18</v>
      </c>
      <c r="B21" s="166" t="s">
        <v>75</v>
      </c>
      <c r="C21" s="189" t="s">
        <v>42</v>
      </c>
      <c r="D21" s="47">
        <v>2009</v>
      </c>
      <c r="E21" s="107">
        <v>2.9</v>
      </c>
      <c r="F21" s="108">
        <f>10-3.8</f>
        <v>6.2</v>
      </c>
      <c r="G21" s="105">
        <f t="shared" si="0"/>
        <v>9.1</v>
      </c>
      <c r="H21" s="109">
        <v>2.3</v>
      </c>
      <c r="I21" s="108">
        <f>10-2.9</f>
        <v>7.1</v>
      </c>
      <c r="J21" s="110">
        <f t="shared" si="1"/>
        <v>9.399999999999999</v>
      </c>
      <c r="K21" s="172">
        <f t="shared" si="2"/>
        <v>18.5</v>
      </c>
      <c r="L21" s="64"/>
    </row>
    <row r="22" spans="1:12" ht="16.5" thickBot="1">
      <c r="A22" s="57">
        <v>19</v>
      </c>
      <c r="B22" s="210" t="s">
        <v>151</v>
      </c>
      <c r="C22" s="245" t="s">
        <v>20</v>
      </c>
      <c r="D22" s="141">
        <v>2009</v>
      </c>
      <c r="E22" s="196">
        <v>3</v>
      </c>
      <c r="F22" s="197">
        <f>10-4.45</f>
        <v>5.55</v>
      </c>
      <c r="G22" s="198">
        <f t="shared" si="0"/>
        <v>8.55</v>
      </c>
      <c r="H22" s="199">
        <v>2.8</v>
      </c>
      <c r="I22" s="197">
        <f>10-2.95</f>
        <v>7.05</v>
      </c>
      <c r="J22" s="200">
        <f t="shared" si="1"/>
        <v>9.85</v>
      </c>
      <c r="K22" s="201">
        <f t="shared" si="2"/>
        <v>18.4</v>
      </c>
      <c r="L22" s="64"/>
    </row>
    <row r="23" spans="1:12" ht="15">
      <c r="A23" s="61"/>
      <c r="B23" s="61"/>
      <c r="C23" s="61"/>
      <c r="D23" s="61"/>
      <c r="E23" s="76"/>
      <c r="F23" s="67"/>
      <c r="G23" s="68"/>
      <c r="H23" s="67"/>
      <c r="I23" s="67"/>
      <c r="J23" s="61"/>
      <c r="K23" s="173"/>
      <c r="L23" s="61"/>
    </row>
    <row r="24" spans="1:12" ht="15">
      <c r="A24" s="61"/>
      <c r="B24" s="61"/>
      <c r="C24" s="61"/>
      <c r="D24" s="61"/>
      <c r="E24" s="66"/>
      <c r="F24" s="67"/>
      <c r="G24" s="68"/>
      <c r="H24" s="67"/>
      <c r="I24" s="67"/>
      <c r="J24" s="61"/>
      <c r="K24" s="173"/>
      <c r="L24" s="61"/>
    </row>
  </sheetData>
  <sheetProtection/>
  <mergeCells count="7">
    <mergeCell ref="K2:K3"/>
    <mergeCell ref="A2:A3"/>
    <mergeCell ref="B2:B3"/>
    <mergeCell ref="C2:C3"/>
    <mergeCell ref="D2:D3"/>
    <mergeCell ref="E2:G2"/>
    <mergeCell ref="H2:J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8" r:id="rId1"/>
  <headerFooter>
    <oddHeader>&amp;C5. ROČNÍK "POHÁDKOVÉHO ZÁVODU" 22.4.2018 V JIČÍNĚ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>
    <tabColor rgb="FF00B050"/>
    <pageSetUpPr fitToPage="1"/>
  </sheetPr>
  <dimension ref="A1:M11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4.25390625" style="9" customWidth="1"/>
    <col min="2" max="2" width="24.25390625" style="9" customWidth="1"/>
    <col min="3" max="3" width="27.25390625" style="9" customWidth="1"/>
    <col min="4" max="4" width="6.375" style="9" bestFit="1" customWidth="1"/>
    <col min="5" max="10" width="11.00390625" style="9" customWidth="1"/>
    <col min="11" max="11" width="11.00390625" style="179" customWidth="1"/>
    <col min="12" max="12" width="18.125" style="9" bestFit="1" customWidth="1"/>
    <col min="13" max="16384" width="9.125" style="9" customWidth="1"/>
  </cols>
  <sheetData>
    <row r="1" spans="1:11" s="24" customFormat="1" ht="18.75" thickBot="1">
      <c r="A1" s="18" t="s">
        <v>153</v>
      </c>
      <c r="B1" s="20"/>
      <c r="C1" s="20"/>
      <c r="D1" s="20"/>
      <c r="E1" s="20"/>
      <c r="F1" s="20"/>
      <c r="G1" s="22"/>
      <c r="H1" s="20"/>
      <c r="I1" s="20"/>
      <c r="J1" s="22"/>
      <c r="K1" s="22"/>
    </row>
    <row r="2" spans="1:11" s="26" customFormat="1" ht="16.5" thickBot="1">
      <c r="A2" s="276"/>
      <c r="B2" s="261" t="s">
        <v>57</v>
      </c>
      <c r="C2" s="278" t="s">
        <v>0</v>
      </c>
      <c r="D2" s="265" t="s">
        <v>3</v>
      </c>
      <c r="E2" s="268" t="s">
        <v>1</v>
      </c>
      <c r="F2" s="267"/>
      <c r="G2" s="269"/>
      <c r="H2" s="268" t="s">
        <v>5</v>
      </c>
      <c r="I2" s="267"/>
      <c r="J2" s="267"/>
      <c r="K2" s="257" t="s">
        <v>2</v>
      </c>
    </row>
    <row r="3" spans="1:11" s="26" customFormat="1" ht="30.75" thickBot="1">
      <c r="A3" s="277"/>
      <c r="B3" s="262"/>
      <c r="C3" s="279"/>
      <c r="D3" s="266"/>
      <c r="E3" s="69" t="s">
        <v>6</v>
      </c>
      <c r="F3" s="71" t="s">
        <v>7</v>
      </c>
      <c r="G3" s="37" t="s">
        <v>10</v>
      </c>
      <c r="H3" s="69" t="s">
        <v>6</v>
      </c>
      <c r="I3" s="71" t="s">
        <v>7</v>
      </c>
      <c r="J3" s="39" t="s">
        <v>9</v>
      </c>
      <c r="K3" s="258"/>
    </row>
    <row r="4" spans="1:11" s="26" customFormat="1" ht="15.75">
      <c r="A4" s="51">
        <v>1</v>
      </c>
      <c r="B4" s="53" t="s">
        <v>17</v>
      </c>
      <c r="C4" s="206" t="s">
        <v>12</v>
      </c>
      <c r="D4" s="140">
        <v>2008</v>
      </c>
      <c r="E4" s="88">
        <v>3.5</v>
      </c>
      <c r="F4" s="86">
        <f>10-2.3</f>
        <v>7.7</v>
      </c>
      <c r="G4" s="87">
        <f>+E4+F4</f>
        <v>11.2</v>
      </c>
      <c r="H4" s="88">
        <v>3.2</v>
      </c>
      <c r="I4" s="86">
        <f>10-1.1</f>
        <v>8.9</v>
      </c>
      <c r="J4" s="87">
        <f>+H4+I4</f>
        <v>12.100000000000001</v>
      </c>
      <c r="K4" s="176">
        <f>J4+G4</f>
        <v>23.3</v>
      </c>
    </row>
    <row r="5" spans="1:13" s="26" customFormat="1" ht="15.75">
      <c r="A5" s="82">
        <v>2</v>
      </c>
      <c r="B5" s="166" t="s">
        <v>19</v>
      </c>
      <c r="C5" s="163" t="s">
        <v>12</v>
      </c>
      <c r="D5" s="140">
        <v>2008</v>
      </c>
      <c r="E5" s="78">
        <v>3.1</v>
      </c>
      <c r="F5" s="73">
        <f>10-2.15</f>
        <v>7.85</v>
      </c>
      <c r="G5" s="42">
        <f>+E5+F5</f>
        <v>10.95</v>
      </c>
      <c r="H5" s="78">
        <v>3.1</v>
      </c>
      <c r="I5" s="73">
        <f>10-1.75</f>
        <v>8.25</v>
      </c>
      <c r="J5" s="42">
        <f>+H5+I5</f>
        <v>11.35</v>
      </c>
      <c r="K5" s="177">
        <f>J5+G5</f>
        <v>22.299999999999997</v>
      </c>
      <c r="M5" s="119"/>
    </row>
    <row r="6" spans="1:13" s="26" customFormat="1" ht="15.75">
      <c r="A6" s="54">
        <v>3</v>
      </c>
      <c r="B6" s="209" t="s">
        <v>33</v>
      </c>
      <c r="C6" s="207" t="s">
        <v>32</v>
      </c>
      <c r="D6" s="140">
        <v>2008</v>
      </c>
      <c r="E6" s="78">
        <v>3.3</v>
      </c>
      <c r="F6" s="73">
        <f>10-2.9</f>
        <v>7.1</v>
      </c>
      <c r="G6" s="42">
        <f>+E6+F6</f>
        <v>10.399999999999999</v>
      </c>
      <c r="H6" s="78">
        <v>3.2</v>
      </c>
      <c r="I6" s="73">
        <f>10-1.9</f>
        <v>8.1</v>
      </c>
      <c r="J6" s="42">
        <f>+H6+I6</f>
        <v>11.3</v>
      </c>
      <c r="K6" s="177">
        <f>J6+G6</f>
        <v>21.7</v>
      </c>
      <c r="L6" s="118"/>
      <c r="M6" s="118"/>
    </row>
    <row r="7" spans="1:13" s="26" customFormat="1" ht="15.75">
      <c r="A7" s="54">
        <v>4</v>
      </c>
      <c r="B7" s="45" t="s">
        <v>18</v>
      </c>
      <c r="C7" s="162" t="s">
        <v>12</v>
      </c>
      <c r="D7" s="188">
        <v>2008</v>
      </c>
      <c r="E7" s="78">
        <v>3</v>
      </c>
      <c r="F7" s="73">
        <f>10-2.75</f>
        <v>7.25</v>
      </c>
      <c r="G7" s="42">
        <f>+E7+F7</f>
        <v>10.25</v>
      </c>
      <c r="H7" s="78">
        <v>2.9</v>
      </c>
      <c r="I7" s="73">
        <f>10-2.2</f>
        <v>7.8</v>
      </c>
      <c r="J7" s="42">
        <f>+H7+I7</f>
        <v>10.7</v>
      </c>
      <c r="K7" s="177">
        <f>J7+G7</f>
        <v>20.95</v>
      </c>
      <c r="L7" s="118"/>
      <c r="M7" s="118"/>
    </row>
    <row r="8" spans="1:13" s="26" customFormat="1" ht="16.5" thickBot="1">
      <c r="A8" s="57">
        <v>5</v>
      </c>
      <c r="B8" s="210" t="s">
        <v>100</v>
      </c>
      <c r="C8" s="164" t="s">
        <v>32</v>
      </c>
      <c r="D8" s="141">
        <v>2008</v>
      </c>
      <c r="E8" s="79">
        <v>3.3</v>
      </c>
      <c r="F8" s="74">
        <f>10-5</f>
        <v>5</v>
      </c>
      <c r="G8" s="49">
        <f>+E8+F8</f>
        <v>8.3</v>
      </c>
      <c r="H8" s="79">
        <v>3.1</v>
      </c>
      <c r="I8" s="74">
        <f>10-1.75</f>
        <v>8.25</v>
      </c>
      <c r="J8" s="49">
        <f>+H8+I8</f>
        <v>11.35</v>
      </c>
      <c r="K8" s="178">
        <f>J8+G8</f>
        <v>19.65</v>
      </c>
      <c r="L8" s="118"/>
      <c r="M8" s="118"/>
    </row>
    <row r="9" s="31" customFormat="1" ht="14.25">
      <c r="K9" s="174"/>
    </row>
    <row r="10" s="31" customFormat="1" ht="14.25">
      <c r="K10" s="174"/>
    </row>
    <row r="11" s="31" customFormat="1" ht="14.25">
      <c r="K11" s="174"/>
    </row>
  </sheetData>
  <sheetProtection/>
  <mergeCells count="7">
    <mergeCell ref="A2:A3"/>
    <mergeCell ref="B2:B3"/>
    <mergeCell ref="C2:C3"/>
    <mergeCell ref="E2:G2"/>
    <mergeCell ref="H2:J2"/>
    <mergeCell ref="K2:K3"/>
    <mergeCell ref="D2:D3"/>
  </mergeCells>
  <printOptions horizontalCentered="1"/>
  <pageMargins left="0.1968503937007874" right="0.1968503937007874" top="0.5511811023622047" bottom="0.984251968503937" header="0.31496062992125984" footer="0.5118110236220472"/>
  <pageSetup fitToWidth="0" fitToHeight="1" horizontalDpi="600" verticalDpi="600" orientation="landscape" paperSize="9" r:id="rId2"/>
  <headerFooter>
    <oddHeader>&amp;C5. ROČNÍK "POHÁDKOVÉHO ZÁVODU" 22.4.2018 V JIČÍNĚ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S17"/>
  <sheetViews>
    <sheetView zoomScalePageLayoutView="0" workbookViewId="0" topLeftCell="A1">
      <selection activeCell="N7" sqref="N7"/>
    </sheetView>
  </sheetViews>
  <sheetFormatPr defaultColWidth="9.00390625" defaultRowHeight="12.75"/>
  <cols>
    <col min="1" max="1" width="7.125" style="0" customWidth="1"/>
    <col min="2" max="2" width="22.375" style="0" customWidth="1"/>
    <col min="3" max="3" width="30.00390625" style="0" customWidth="1"/>
    <col min="11" max="11" width="9.125" style="175" customWidth="1"/>
  </cols>
  <sheetData>
    <row r="1" spans="1:12" ht="18.75" thickBot="1">
      <c r="A1" s="18" t="s">
        <v>154</v>
      </c>
      <c r="B1" s="20"/>
      <c r="C1" s="20"/>
      <c r="D1" s="20"/>
      <c r="E1" s="20"/>
      <c r="F1" s="20"/>
      <c r="G1" s="22"/>
      <c r="H1" s="20"/>
      <c r="I1" s="20"/>
      <c r="J1" s="22"/>
      <c r="K1" s="22"/>
      <c r="L1" s="256"/>
    </row>
    <row r="2" spans="1:11" ht="16.5" thickBot="1">
      <c r="A2" s="276"/>
      <c r="B2" s="261" t="s">
        <v>57</v>
      </c>
      <c r="C2" s="280" t="s">
        <v>0</v>
      </c>
      <c r="D2" s="265" t="s">
        <v>3</v>
      </c>
      <c r="E2" s="268" t="s">
        <v>1</v>
      </c>
      <c r="F2" s="267"/>
      <c r="G2" s="269"/>
      <c r="H2" s="268" t="s">
        <v>5</v>
      </c>
      <c r="I2" s="267"/>
      <c r="J2" s="267"/>
      <c r="K2" s="257" t="s">
        <v>2</v>
      </c>
    </row>
    <row r="3" spans="1:11" ht="30.75" thickBot="1">
      <c r="A3" s="277"/>
      <c r="B3" s="262"/>
      <c r="C3" s="281"/>
      <c r="D3" s="266"/>
      <c r="E3" s="69" t="s">
        <v>6</v>
      </c>
      <c r="F3" s="71" t="s">
        <v>7</v>
      </c>
      <c r="G3" s="37" t="s">
        <v>10</v>
      </c>
      <c r="H3" s="69" t="s">
        <v>6</v>
      </c>
      <c r="I3" s="71" t="s">
        <v>7</v>
      </c>
      <c r="J3" s="39" t="s">
        <v>9</v>
      </c>
      <c r="K3" s="258"/>
    </row>
    <row r="4" spans="1:11" ht="15.75">
      <c r="A4" s="51">
        <v>1</v>
      </c>
      <c r="B4" s="63" t="s">
        <v>35</v>
      </c>
      <c r="C4" s="89" t="s">
        <v>23</v>
      </c>
      <c r="D4" s="140">
        <v>2006</v>
      </c>
      <c r="E4" s="60">
        <f>3.7</f>
        <v>3.7</v>
      </c>
      <c r="F4" s="86">
        <f>10-1.6</f>
        <v>8.4</v>
      </c>
      <c r="G4" s="87">
        <f aca="true" t="shared" si="0" ref="G4:G16">+E4+F4</f>
        <v>12.100000000000001</v>
      </c>
      <c r="H4" s="88">
        <v>3.4</v>
      </c>
      <c r="I4" s="86">
        <f>10-1.2</f>
        <v>8.8</v>
      </c>
      <c r="J4" s="87">
        <f aca="true" t="shared" si="1" ref="J4:J16">+H4+I4</f>
        <v>12.200000000000001</v>
      </c>
      <c r="K4" s="176">
        <f aca="true" t="shared" si="2" ref="K4:K16">J4+G4</f>
        <v>24.300000000000004</v>
      </c>
    </row>
    <row r="5" spans="1:11" ht="15.75">
      <c r="A5" s="82">
        <v>2</v>
      </c>
      <c r="B5" s="63" t="s">
        <v>49</v>
      </c>
      <c r="C5" s="89" t="s">
        <v>12</v>
      </c>
      <c r="D5" s="140">
        <v>2007</v>
      </c>
      <c r="E5" s="52">
        <v>3.3</v>
      </c>
      <c r="F5" s="72">
        <f>10-1.3</f>
        <v>8.7</v>
      </c>
      <c r="G5" s="42">
        <f t="shared" si="0"/>
        <v>12</v>
      </c>
      <c r="H5" s="77">
        <v>3.1</v>
      </c>
      <c r="I5" s="72">
        <f>10-1</f>
        <v>9</v>
      </c>
      <c r="J5" s="42">
        <f t="shared" si="1"/>
        <v>12.1</v>
      </c>
      <c r="K5" s="177">
        <f t="shared" si="2"/>
        <v>24.1</v>
      </c>
    </row>
    <row r="6" spans="1:19" ht="16.5" customHeight="1">
      <c r="A6" s="54">
        <v>3</v>
      </c>
      <c r="B6" s="63" t="s">
        <v>37</v>
      </c>
      <c r="C6" s="93" t="s">
        <v>25</v>
      </c>
      <c r="D6" s="140">
        <v>2006</v>
      </c>
      <c r="E6" s="55">
        <v>3.1</v>
      </c>
      <c r="F6" s="73">
        <f>10-2</f>
        <v>8</v>
      </c>
      <c r="G6" s="42">
        <f t="shared" si="0"/>
        <v>11.1</v>
      </c>
      <c r="H6" s="78">
        <v>3.3</v>
      </c>
      <c r="I6" s="73">
        <f>10-1.7</f>
        <v>8.3</v>
      </c>
      <c r="J6" s="42">
        <f t="shared" si="1"/>
        <v>11.600000000000001</v>
      </c>
      <c r="K6" s="177">
        <f t="shared" si="2"/>
        <v>22.700000000000003</v>
      </c>
      <c r="P6" s="120"/>
      <c r="Q6" s="26"/>
      <c r="R6" s="26"/>
      <c r="S6" s="26"/>
    </row>
    <row r="7" spans="1:19" ht="15.75">
      <c r="A7" s="82">
        <v>4</v>
      </c>
      <c r="B7" s="63" t="s">
        <v>155</v>
      </c>
      <c r="C7" s="90" t="s">
        <v>11</v>
      </c>
      <c r="D7" s="140">
        <v>2007</v>
      </c>
      <c r="E7" s="55">
        <v>3.6</v>
      </c>
      <c r="F7" s="73">
        <f>10-2.95</f>
        <v>7.05</v>
      </c>
      <c r="G7" s="42">
        <f t="shared" si="0"/>
        <v>10.65</v>
      </c>
      <c r="H7" s="78">
        <v>3.4</v>
      </c>
      <c r="I7" s="73">
        <f>10-1.4</f>
        <v>8.6</v>
      </c>
      <c r="J7" s="42">
        <f t="shared" si="1"/>
        <v>12</v>
      </c>
      <c r="K7" s="177">
        <f t="shared" si="2"/>
        <v>22.65</v>
      </c>
      <c r="M7" s="118"/>
      <c r="N7" s="26"/>
      <c r="O7" s="26"/>
      <c r="P7" s="26"/>
      <c r="Q7" s="26"/>
      <c r="R7" s="26"/>
      <c r="S7" s="26"/>
    </row>
    <row r="8" spans="1:19" ht="15.75">
      <c r="A8" s="54">
        <v>5</v>
      </c>
      <c r="B8" s="134" t="s">
        <v>98</v>
      </c>
      <c r="C8" s="89" t="s">
        <v>20</v>
      </c>
      <c r="D8" s="140">
        <v>2007</v>
      </c>
      <c r="E8" s="55">
        <v>3</v>
      </c>
      <c r="F8" s="73">
        <f>10-2.2</f>
        <v>7.8</v>
      </c>
      <c r="G8" s="42">
        <f t="shared" si="0"/>
        <v>10.8</v>
      </c>
      <c r="H8" s="78">
        <v>3.1</v>
      </c>
      <c r="I8" s="73">
        <f>10-1.6</f>
        <v>8.4</v>
      </c>
      <c r="J8" s="42">
        <f t="shared" si="1"/>
        <v>11.5</v>
      </c>
      <c r="K8" s="177">
        <f t="shared" si="2"/>
        <v>22.3</v>
      </c>
      <c r="M8" s="118"/>
      <c r="N8" s="26"/>
      <c r="O8" s="26"/>
      <c r="P8" s="26"/>
      <c r="Q8" s="26"/>
      <c r="R8" s="26"/>
      <c r="S8" s="26"/>
    </row>
    <row r="9" spans="1:19" ht="15.75">
      <c r="A9" s="82">
        <v>6</v>
      </c>
      <c r="B9" s="125" t="s">
        <v>15</v>
      </c>
      <c r="C9" s="89" t="s">
        <v>13</v>
      </c>
      <c r="D9" s="140">
        <v>2006</v>
      </c>
      <c r="E9" s="55">
        <v>3.1</v>
      </c>
      <c r="F9" s="73">
        <f>10-2.2</f>
        <v>7.8</v>
      </c>
      <c r="G9" s="42">
        <f>+E9+F9</f>
        <v>10.9</v>
      </c>
      <c r="H9" s="78">
        <v>2.5</v>
      </c>
      <c r="I9" s="73">
        <f>10-1.8</f>
        <v>8.2</v>
      </c>
      <c r="J9" s="42">
        <f>+H9+I9</f>
        <v>10.7</v>
      </c>
      <c r="K9" s="177">
        <f>J9+G9</f>
        <v>21.6</v>
      </c>
      <c r="M9" s="118"/>
      <c r="N9" s="26"/>
      <c r="O9" s="26"/>
      <c r="P9" s="26"/>
      <c r="Q9" s="26"/>
      <c r="R9" s="26"/>
      <c r="S9" s="26"/>
    </row>
    <row r="10" spans="1:11" ht="15.75">
      <c r="A10" s="54">
        <v>7</v>
      </c>
      <c r="B10" s="45" t="s">
        <v>14</v>
      </c>
      <c r="C10" s="126" t="s">
        <v>13</v>
      </c>
      <c r="D10" s="142">
        <v>2006</v>
      </c>
      <c r="E10" s="55">
        <v>3.1</v>
      </c>
      <c r="F10" s="73">
        <f>10-2.4</f>
        <v>7.6</v>
      </c>
      <c r="G10" s="42">
        <f>+E10+F10</f>
        <v>10.7</v>
      </c>
      <c r="H10" s="78">
        <v>3.1</v>
      </c>
      <c r="I10" s="73">
        <f>10-2.2</f>
        <v>7.8</v>
      </c>
      <c r="J10" s="42">
        <f>+H10+I10</f>
        <v>10.9</v>
      </c>
      <c r="K10" s="177">
        <f>J10+G10</f>
        <v>21.6</v>
      </c>
    </row>
    <row r="11" spans="1:11" ht="15.75">
      <c r="A11" s="82">
        <v>8</v>
      </c>
      <c r="B11" s="63" t="s">
        <v>65</v>
      </c>
      <c r="C11" s="93" t="s">
        <v>25</v>
      </c>
      <c r="D11" s="140">
        <v>2006</v>
      </c>
      <c r="E11" s="55">
        <v>3</v>
      </c>
      <c r="F11" s="73">
        <f>10-3.35</f>
        <v>6.65</v>
      </c>
      <c r="G11" s="42">
        <f t="shared" si="0"/>
        <v>9.65</v>
      </c>
      <c r="H11" s="78">
        <v>3.4</v>
      </c>
      <c r="I11" s="73">
        <f>10-1.5</f>
        <v>8.5</v>
      </c>
      <c r="J11" s="42">
        <f t="shared" si="1"/>
        <v>11.9</v>
      </c>
      <c r="K11" s="177">
        <f t="shared" si="2"/>
        <v>21.55</v>
      </c>
    </row>
    <row r="12" spans="1:11" ht="15.75">
      <c r="A12" s="54">
        <v>9</v>
      </c>
      <c r="B12" s="134" t="s">
        <v>48</v>
      </c>
      <c r="C12" s="89" t="s">
        <v>12</v>
      </c>
      <c r="D12" s="140">
        <v>2007</v>
      </c>
      <c r="E12" s="55">
        <v>3</v>
      </c>
      <c r="F12" s="73">
        <f>10-3</f>
        <v>7</v>
      </c>
      <c r="G12" s="42">
        <f t="shared" si="0"/>
        <v>10</v>
      </c>
      <c r="H12" s="78">
        <v>3</v>
      </c>
      <c r="I12" s="73">
        <f>10-2</f>
        <v>8</v>
      </c>
      <c r="J12" s="42">
        <f t="shared" si="1"/>
        <v>11</v>
      </c>
      <c r="K12" s="177">
        <f t="shared" si="2"/>
        <v>21</v>
      </c>
    </row>
    <row r="13" spans="1:11" ht="15.75">
      <c r="A13" s="82">
        <v>10</v>
      </c>
      <c r="B13" s="63" t="s">
        <v>97</v>
      </c>
      <c r="C13" s="89" t="s">
        <v>20</v>
      </c>
      <c r="D13" s="140">
        <v>2007</v>
      </c>
      <c r="E13" s="55">
        <v>3</v>
      </c>
      <c r="F13" s="73">
        <f>10-2.75</f>
        <v>7.25</v>
      </c>
      <c r="G13" s="42">
        <f t="shared" si="0"/>
        <v>10.25</v>
      </c>
      <c r="H13" s="78">
        <v>3</v>
      </c>
      <c r="I13" s="73">
        <f>10-2.5</f>
        <v>7.5</v>
      </c>
      <c r="J13" s="42">
        <f t="shared" si="1"/>
        <v>10.5</v>
      </c>
      <c r="K13" s="177">
        <f t="shared" si="2"/>
        <v>20.75</v>
      </c>
    </row>
    <row r="14" spans="1:11" ht="15.75">
      <c r="A14" s="54">
        <v>11</v>
      </c>
      <c r="B14" s="63" t="s">
        <v>36</v>
      </c>
      <c r="C14" s="93" t="s">
        <v>25</v>
      </c>
      <c r="D14" s="140">
        <v>2006</v>
      </c>
      <c r="E14" s="55">
        <v>3.2</v>
      </c>
      <c r="F14" s="73">
        <f>10-4.7</f>
        <v>5.3</v>
      </c>
      <c r="G14" s="42">
        <f t="shared" si="0"/>
        <v>8.5</v>
      </c>
      <c r="H14" s="78">
        <v>3.3</v>
      </c>
      <c r="I14" s="73">
        <f>10-1.3</f>
        <v>8.7</v>
      </c>
      <c r="J14" s="42">
        <f t="shared" si="1"/>
        <v>12</v>
      </c>
      <c r="K14" s="177">
        <f t="shared" si="2"/>
        <v>20.5</v>
      </c>
    </row>
    <row r="15" spans="1:11" ht="15.75">
      <c r="A15" s="82">
        <v>12</v>
      </c>
      <c r="B15" s="63" t="s">
        <v>51</v>
      </c>
      <c r="C15" s="90" t="s">
        <v>42</v>
      </c>
      <c r="D15" s="140">
        <v>2006</v>
      </c>
      <c r="E15" s="55">
        <v>3.2</v>
      </c>
      <c r="F15" s="73">
        <f>10-3.25</f>
        <v>6.75</v>
      </c>
      <c r="G15" s="42">
        <f t="shared" si="0"/>
        <v>9.95</v>
      </c>
      <c r="H15" s="78">
        <v>3</v>
      </c>
      <c r="I15" s="73">
        <f>10-2.8</f>
        <v>7.2</v>
      </c>
      <c r="J15" s="42">
        <f t="shared" si="1"/>
        <v>10.2</v>
      </c>
      <c r="K15" s="177">
        <f t="shared" si="2"/>
        <v>20.15</v>
      </c>
    </row>
    <row r="16" spans="1:11" ht="16.5" thickBot="1">
      <c r="A16" s="57">
        <v>13</v>
      </c>
      <c r="B16" s="65" t="s">
        <v>54</v>
      </c>
      <c r="C16" s="160" t="s">
        <v>42</v>
      </c>
      <c r="D16" s="141">
        <v>2006</v>
      </c>
      <c r="E16" s="58">
        <v>3.1</v>
      </c>
      <c r="F16" s="74">
        <f>10-4.3</f>
        <v>5.7</v>
      </c>
      <c r="G16" s="49">
        <f t="shared" si="0"/>
        <v>8.8</v>
      </c>
      <c r="H16" s="79">
        <v>3.3</v>
      </c>
      <c r="I16" s="74">
        <f>10-2.3</f>
        <v>7.7</v>
      </c>
      <c r="J16" s="49">
        <f t="shared" si="1"/>
        <v>11</v>
      </c>
      <c r="K16" s="178">
        <f t="shared" si="2"/>
        <v>19.8</v>
      </c>
    </row>
    <row r="17" spans="1:11" ht="14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174"/>
    </row>
  </sheetData>
  <sheetProtection/>
  <mergeCells count="7">
    <mergeCell ref="K2:K3"/>
    <mergeCell ref="A2:A3"/>
    <mergeCell ref="B2:B3"/>
    <mergeCell ref="C2:C3"/>
    <mergeCell ref="D2:D3"/>
    <mergeCell ref="E2:G2"/>
    <mergeCell ref="H2:J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&amp;C5. ROČNÍK "POHÁDKOVÉHO ZÁVODU" 22.4.2018 V JIČÍNĚ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">
    <tabColor rgb="FF00B050"/>
    <pageSetUpPr fitToPage="1"/>
  </sheetPr>
  <dimension ref="A1:M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25390625" style="9" customWidth="1"/>
    <col min="2" max="2" width="24.25390625" style="9" customWidth="1"/>
    <col min="3" max="3" width="21.00390625" style="9" bestFit="1" customWidth="1"/>
    <col min="4" max="4" width="7.25390625" style="9" bestFit="1" customWidth="1"/>
    <col min="5" max="10" width="11.00390625" style="9" customWidth="1"/>
    <col min="11" max="11" width="11.00390625" style="179" customWidth="1"/>
    <col min="12" max="12" width="18.125" style="9" bestFit="1" customWidth="1"/>
    <col min="13" max="16384" width="9.125" style="9" customWidth="1"/>
  </cols>
  <sheetData>
    <row r="1" spans="1:11" s="24" customFormat="1" ht="18.75" thickBot="1">
      <c r="A1" s="18" t="s">
        <v>156</v>
      </c>
      <c r="B1" s="20"/>
      <c r="C1" s="20"/>
      <c r="D1" s="20"/>
      <c r="E1" s="20"/>
      <c r="F1" s="20"/>
      <c r="G1" s="22"/>
      <c r="H1" s="20"/>
      <c r="I1" s="20"/>
      <c r="J1" s="22"/>
      <c r="K1" s="22"/>
    </row>
    <row r="2" spans="1:11" s="26" customFormat="1" ht="16.5" thickBot="1">
      <c r="A2" s="276"/>
      <c r="B2" s="261" t="s">
        <v>57</v>
      </c>
      <c r="C2" s="280" t="s">
        <v>0</v>
      </c>
      <c r="D2" s="265" t="s">
        <v>3</v>
      </c>
      <c r="E2" s="267" t="s">
        <v>1</v>
      </c>
      <c r="F2" s="267"/>
      <c r="G2" s="269"/>
      <c r="H2" s="268" t="s">
        <v>5</v>
      </c>
      <c r="I2" s="267"/>
      <c r="J2" s="269"/>
      <c r="K2" s="282" t="s">
        <v>2</v>
      </c>
    </row>
    <row r="3" spans="1:11" s="26" customFormat="1" ht="30.75" thickBot="1">
      <c r="A3" s="277"/>
      <c r="B3" s="262"/>
      <c r="C3" s="281"/>
      <c r="D3" s="266"/>
      <c r="E3" s="99" t="s">
        <v>6</v>
      </c>
      <c r="F3" s="71" t="s">
        <v>7</v>
      </c>
      <c r="G3" s="37" t="s">
        <v>10</v>
      </c>
      <c r="H3" s="69" t="s">
        <v>6</v>
      </c>
      <c r="I3" s="71" t="s">
        <v>7</v>
      </c>
      <c r="J3" s="37" t="s">
        <v>9</v>
      </c>
      <c r="K3" s="283"/>
    </row>
    <row r="4" spans="1:13" s="26" customFormat="1" ht="15.75">
      <c r="A4" s="51">
        <v>1</v>
      </c>
      <c r="B4" s="125" t="s">
        <v>38</v>
      </c>
      <c r="C4" s="126" t="s">
        <v>23</v>
      </c>
      <c r="D4" s="142">
        <v>2005</v>
      </c>
      <c r="E4" s="60">
        <v>3</v>
      </c>
      <c r="F4" s="86">
        <f>10-1.75</f>
        <v>8.25</v>
      </c>
      <c r="G4" s="87">
        <f aca="true" t="shared" si="0" ref="G4:G10">+E4+F4</f>
        <v>11.25</v>
      </c>
      <c r="H4" s="88">
        <v>3.6</v>
      </c>
      <c r="I4" s="86">
        <f>10-1.15</f>
        <v>8.85</v>
      </c>
      <c r="J4" s="87">
        <f aca="true" t="shared" si="1" ref="J4:J10">+H4+I4</f>
        <v>12.45</v>
      </c>
      <c r="K4" s="176">
        <f aca="true" t="shared" si="2" ref="K4:K10">J4+G4</f>
        <v>23.7</v>
      </c>
      <c r="M4" s="118"/>
    </row>
    <row r="5" spans="1:13" s="26" customFormat="1" ht="15.75">
      <c r="A5" s="82">
        <v>2</v>
      </c>
      <c r="B5" s="53" t="s">
        <v>66</v>
      </c>
      <c r="C5" s="89" t="s">
        <v>12</v>
      </c>
      <c r="D5" s="143">
        <v>2004</v>
      </c>
      <c r="E5" s="55">
        <v>2.9</v>
      </c>
      <c r="F5" s="73">
        <f>10-1.7</f>
        <v>8.3</v>
      </c>
      <c r="G5" s="42">
        <f t="shared" si="0"/>
        <v>11.200000000000001</v>
      </c>
      <c r="H5" s="78">
        <v>2.7</v>
      </c>
      <c r="I5" s="73">
        <f>10-1.05</f>
        <v>8.95</v>
      </c>
      <c r="J5" s="42">
        <f t="shared" si="1"/>
        <v>11.649999999999999</v>
      </c>
      <c r="K5" s="177">
        <f t="shared" si="2"/>
        <v>22.85</v>
      </c>
      <c r="M5" s="118"/>
    </row>
    <row r="6" spans="1:13" s="26" customFormat="1" ht="15.75">
      <c r="A6" s="54">
        <v>3</v>
      </c>
      <c r="B6" s="45" t="s">
        <v>86</v>
      </c>
      <c r="C6" s="89" t="s">
        <v>13</v>
      </c>
      <c r="D6" s="140">
        <v>2005</v>
      </c>
      <c r="E6" s="55">
        <v>3.3</v>
      </c>
      <c r="F6" s="73">
        <f>10-2.3</f>
        <v>7.7</v>
      </c>
      <c r="G6" s="42">
        <f t="shared" si="0"/>
        <v>11</v>
      </c>
      <c r="H6" s="78">
        <v>2.8</v>
      </c>
      <c r="I6" s="73">
        <f>10-1.45</f>
        <v>8.55</v>
      </c>
      <c r="J6" s="42">
        <f t="shared" si="1"/>
        <v>11.350000000000001</v>
      </c>
      <c r="K6" s="177">
        <f t="shared" si="2"/>
        <v>22.35</v>
      </c>
      <c r="M6" s="118"/>
    </row>
    <row r="7" spans="1:13" s="26" customFormat="1" ht="15.75">
      <c r="A7" s="54">
        <v>4</v>
      </c>
      <c r="B7" s="190" t="s">
        <v>59</v>
      </c>
      <c r="C7" s="238" t="s">
        <v>25</v>
      </c>
      <c r="D7" s="191">
        <v>2003</v>
      </c>
      <c r="E7" s="55">
        <v>3.2</v>
      </c>
      <c r="F7" s="73">
        <f>10-3.55</f>
        <v>6.45</v>
      </c>
      <c r="G7" s="42">
        <f t="shared" si="0"/>
        <v>9.65</v>
      </c>
      <c r="H7" s="78">
        <v>2.9</v>
      </c>
      <c r="I7" s="73">
        <f>10-1.5</f>
        <v>8.5</v>
      </c>
      <c r="J7" s="42">
        <f t="shared" si="1"/>
        <v>11.4</v>
      </c>
      <c r="K7" s="177">
        <f t="shared" si="2"/>
        <v>21.05</v>
      </c>
      <c r="M7" s="118"/>
    </row>
    <row r="8" spans="1:13" s="26" customFormat="1" ht="15.75">
      <c r="A8" s="82">
        <v>5</v>
      </c>
      <c r="B8" s="53" t="s">
        <v>180</v>
      </c>
      <c r="C8" s="93" t="s">
        <v>31</v>
      </c>
      <c r="D8" s="143">
        <v>2005</v>
      </c>
      <c r="E8" s="55">
        <v>3.2</v>
      </c>
      <c r="F8" s="73">
        <f>10-3.1</f>
        <v>6.9</v>
      </c>
      <c r="G8" s="42">
        <f t="shared" si="0"/>
        <v>10.100000000000001</v>
      </c>
      <c r="H8" s="78">
        <v>2.2</v>
      </c>
      <c r="I8" s="73">
        <f>10-1.95</f>
        <v>8.05</v>
      </c>
      <c r="J8" s="42">
        <f t="shared" si="1"/>
        <v>10.25</v>
      </c>
      <c r="K8" s="177">
        <f t="shared" si="2"/>
        <v>20.35</v>
      </c>
      <c r="M8" s="118"/>
    </row>
    <row r="9" spans="1:11" s="26" customFormat="1" ht="15.75">
      <c r="A9" s="82">
        <v>6</v>
      </c>
      <c r="B9" s="53" t="s">
        <v>55</v>
      </c>
      <c r="C9" s="93" t="s">
        <v>25</v>
      </c>
      <c r="D9" s="143">
        <v>2003</v>
      </c>
      <c r="E9" s="55">
        <v>3.2</v>
      </c>
      <c r="F9" s="73">
        <f>10-4.35</f>
        <v>5.65</v>
      </c>
      <c r="G9" s="42">
        <f t="shared" si="0"/>
        <v>8.850000000000001</v>
      </c>
      <c r="H9" s="78">
        <v>2.8</v>
      </c>
      <c r="I9" s="73">
        <f>10-2.25</f>
        <v>7.75</v>
      </c>
      <c r="J9" s="42">
        <f t="shared" si="1"/>
        <v>10.55</v>
      </c>
      <c r="K9" s="177">
        <f t="shared" si="2"/>
        <v>19.400000000000002</v>
      </c>
    </row>
    <row r="10" spans="1:11" s="26" customFormat="1" ht="16.5" thickBot="1">
      <c r="A10" s="57">
        <v>7</v>
      </c>
      <c r="B10" s="210" t="s">
        <v>78</v>
      </c>
      <c r="C10" s="160" t="s">
        <v>194</v>
      </c>
      <c r="D10" s="141">
        <v>2005</v>
      </c>
      <c r="E10" s="58">
        <v>3.5</v>
      </c>
      <c r="F10" s="74">
        <f>10-5.05</f>
        <v>4.95</v>
      </c>
      <c r="G10" s="49">
        <f t="shared" si="0"/>
        <v>8.45</v>
      </c>
      <c r="H10" s="79">
        <v>2.8</v>
      </c>
      <c r="I10" s="74">
        <f>10-1.95</f>
        <v>8.05</v>
      </c>
      <c r="J10" s="49">
        <f t="shared" si="1"/>
        <v>10.850000000000001</v>
      </c>
      <c r="K10" s="178">
        <f t="shared" si="2"/>
        <v>19.3</v>
      </c>
    </row>
    <row r="11" spans="5:11" s="61" customFormat="1" ht="15">
      <c r="E11" s="67"/>
      <c r="F11" s="67"/>
      <c r="H11" s="67"/>
      <c r="I11" s="67"/>
      <c r="K11" s="173"/>
    </row>
    <row r="12" s="31" customFormat="1" ht="14.25">
      <c r="K12" s="174"/>
    </row>
  </sheetData>
  <sheetProtection/>
  <mergeCells count="7">
    <mergeCell ref="K2:K3"/>
    <mergeCell ref="A2:A3"/>
    <mergeCell ref="B2:B3"/>
    <mergeCell ref="C2:C3"/>
    <mergeCell ref="E2:G2"/>
    <mergeCell ref="H2:J2"/>
    <mergeCell ref="D2:D3"/>
  </mergeCells>
  <printOptions horizontalCentered="1"/>
  <pageMargins left="0.1968503937007874" right="0.1968503937007874" top="0.5511811023622047" bottom="0.984251968503937" header="0.31496062992125984" footer="0.5118110236220472"/>
  <pageSetup fitToWidth="0" fitToHeight="1" horizontalDpi="600" verticalDpi="600" orientation="landscape" paperSize="9" r:id="rId2"/>
  <headerFooter>
    <oddHeader>&amp;C5. ROČNÍK "POHÁDKOVÉHO ZÁVODU" 22.4.2018 V JIČÍNĚ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5">
    <tabColor rgb="FF00B050"/>
    <pageSetUpPr fitToPage="1"/>
  </sheetPr>
  <dimension ref="A1:M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25390625" style="8" customWidth="1"/>
    <col min="2" max="2" width="24.25390625" style="8" customWidth="1"/>
    <col min="3" max="3" width="29.25390625" style="8" customWidth="1"/>
    <col min="4" max="4" width="6.375" style="8" bestFit="1" customWidth="1"/>
    <col min="5" max="10" width="11.00390625" style="8" customWidth="1"/>
    <col min="11" max="11" width="11.00390625" style="2" customWidth="1"/>
    <col min="12" max="16384" width="9.125" style="8" customWidth="1"/>
  </cols>
  <sheetData>
    <row r="1" spans="1:11" s="24" customFormat="1" ht="18.75" thickBot="1">
      <c r="A1" s="17" t="s">
        <v>157</v>
      </c>
      <c r="E1" s="20"/>
      <c r="F1" s="22"/>
      <c r="G1" s="20"/>
      <c r="H1" s="22"/>
      <c r="I1" s="20"/>
      <c r="J1" s="22"/>
      <c r="K1" s="20"/>
    </row>
    <row r="2" spans="1:11" s="26" customFormat="1" ht="16.5" thickBot="1">
      <c r="A2" s="276"/>
      <c r="B2" s="261" t="s">
        <v>57</v>
      </c>
      <c r="C2" s="280" t="s">
        <v>0</v>
      </c>
      <c r="D2" s="265" t="s">
        <v>3</v>
      </c>
      <c r="E2" s="267" t="s">
        <v>1</v>
      </c>
      <c r="F2" s="267"/>
      <c r="G2" s="269"/>
      <c r="H2" s="268" t="s">
        <v>5</v>
      </c>
      <c r="I2" s="267"/>
      <c r="J2" s="269"/>
      <c r="K2" s="282" t="s">
        <v>2</v>
      </c>
    </row>
    <row r="3" spans="1:11" s="26" customFormat="1" ht="30.75" thickBot="1">
      <c r="A3" s="277"/>
      <c r="B3" s="275"/>
      <c r="C3" s="281"/>
      <c r="D3" s="266"/>
      <c r="E3" s="99" t="s">
        <v>6</v>
      </c>
      <c r="F3" s="71" t="s">
        <v>7</v>
      </c>
      <c r="G3" s="37" t="s">
        <v>10</v>
      </c>
      <c r="H3" s="69" t="s">
        <v>6</v>
      </c>
      <c r="I3" s="71" t="s">
        <v>7</v>
      </c>
      <c r="J3" s="37" t="s">
        <v>9</v>
      </c>
      <c r="K3" s="283"/>
    </row>
    <row r="4" spans="1:13" s="26" customFormat="1" ht="15.75">
      <c r="A4" s="85">
        <v>1</v>
      </c>
      <c r="B4" s="123" t="s">
        <v>190</v>
      </c>
      <c r="C4" s="124" t="s">
        <v>20</v>
      </c>
      <c r="D4" s="144">
        <v>2002</v>
      </c>
      <c r="E4" s="60">
        <v>3.3</v>
      </c>
      <c r="F4" s="86">
        <f>10-2.5</f>
        <v>7.5</v>
      </c>
      <c r="G4" s="87">
        <f>+E4+F4</f>
        <v>10.8</v>
      </c>
      <c r="H4" s="88">
        <v>3.1</v>
      </c>
      <c r="I4" s="86">
        <f>10-2.5</f>
        <v>7.5</v>
      </c>
      <c r="J4" s="87">
        <f>+H4+I4</f>
        <v>10.6</v>
      </c>
      <c r="K4" s="176">
        <f>J4+G4</f>
        <v>21.4</v>
      </c>
      <c r="M4" s="118"/>
    </row>
    <row r="5" spans="1:13" s="26" customFormat="1" ht="15.75">
      <c r="A5" s="44"/>
      <c r="B5" s="53"/>
      <c r="C5" s="46"/>
      <c r="D5" s="143"/>
      <c r="E5" s="55"/>
      <c r="F5" s="73"/>
      <c r="G5" s="42"/>
      <c r="H5" s="78"/>
      <c r="I5" s="73"/>
      <c r="J5" s="42"/>
      <c r="K5" s="177"/>
      <c r="M5" s="118"/>
    </row>
    <row r="6" spans="1:13" s="26" customFormat="1" ht="16.5" thickBot="1">
      <c r="A6" s="152"/>
      <c r="B6" s="56"/>
      <c r="C6" s="48"/>
      <c r="D6" s="145"/>
      <c r="E6" s="58"/>
      <c r="F6" s="74"/>
      <c r="G6" s="49"/>
      <c r="H6" s="79"/>
      <c r="I6" s="74"/>
      <c r="J6" s="49"/>
      <c r="K6" s="178"/>
      <c r="M6" s="118"/>
    </row>
    <row r="7" spans="5:11" s="26" customFormat="1" ht="15">
      <c r="E7" s="75"/>
      <c r="F7" s="75"/>
      <c r="H7" s="75"/>
      <c r="I7" s="75"/>
      <c r="K7" s="19"/>
    </row>
    <row r="8" spans="5:11" s="26" customFormat="1" ht="15">
      <c r="E8" s="75"/>
      <c r="F8" s="75"/>
      <c r="H8" s="75"/>
      <c r="I8" s="75"/>
      <c r="K8" s="19"/>
    </row>
    <row r="9" spans="5:11" s="26" customFormat="1" ht="15">
      <c r="E9" s="75"/>
      <c r="F9" s="75"/>
      <c r="H9" s="75"/>
      <c r="I9" s="75"/>
      <c r="K9" s="19"/>
    </row>
    <row r="10" spans="5:11" s="26" customFormat="1" ht="15">
      <c r="E10" s="75"/>
      <c r="F10" s="75"/>
      <c r="H10" s="75"/>
      <c r="I10" s="75"/>
      <c r="K10" s="19"/>
    </row>
    <row r="11" spans="5:11" s="26" customFormat="1" ht="15">
      <c r="E11" s="75"/>
      <c r="F11" s="75"/>
      <c r="H11" s="75"/>
      <c r="I11" s="75"/>
      <c r="K11" s="19"/>
    </row>
    <row r="12" spans="5:11" s="26" customFormat="1" ht="15">
      <c r="E12" s="75"/>
      <c r="F12" s="75"/>
      <c r="H12" s="75"/>
      <c r="I12" s="75"/>
      <c r="K12" s="19"/>
    </row>
    <row r="13" spans="5:11" s="26" customFormat="1" ht="15">
      <c r="E13" s="75"/>
      <c r="F13" s="75"/>
      <c r="H13" s="75"/>
      <c r="I13" s="75"/>
      <c r="K13" s="19"/>
    </row>
    <row r="14" s="26" customFormat="1" ht="15">
      <c r="K14" s="19"/>
    </row>
    <row r="15" s="28" customFormat="1" ht="14.25">
      <c r="K15" s="40"/>
    </row>
    <row r="16" s="28" customFormat="1" ht="14.25">
      <c r="K16" s="40"/>
    </row>
    <row r="17" s="28" customFormat="1" ht="14.25">
      <c r="K17" s="40"/>
    </row>
    <row r="18" s="28" customFormat="1" ht="14.25">
      <c r="K18" s="40"/>
    </row>
  </sheetData>
  <sheetProtection/>
  <mergeCells count="7">
    <mergeCell ref="K2:K3"/>
    <mergeCell ref="A2:A3"/>
    <mergeCell ref="B2:B3"/>
    <mergeCell ref="C2:C3"/>
    <mergeCell ref="E2:G2"/>
    <mergeCell ref="H2:J2"/>
    <mergeCell ref="D2:D3"/>
  </mergeCells>
  <printOptions horizontalCentered="1"/>
  <pageMargins left="0.1968503937007874" right="0.1968503937007874" top="0.5511811023622047" bottom="0.984251968503937" header="0.31496062992125984" footer="0.5118110236220472"/>
  <pageSetup fitToWidth="0" fitToHeight="1" horizontalDpi="600" verticalDpi="600" orientation="landscape" paperSize="9" r:id="rId2"/>
  <headerFooter>
    <oddHeader>&amp;C5. ROČNÍK "POHÁDKOVÉHO ZÁVODU" 22.4.2018 V JIČÍNĚ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6">
    <tabColor rgb="FF00B050"/>
    <pageSetUpPr fitToPage="1"/>
  </sheetPr>
  <dimension ref="A1:M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25390625" style="14" customWidth="1"/>
    <col min="2" max="2" width="24.25390625" style="8" customWidth="1"/>
    <col min="3" max="3" width="29.625" style="8" customWidth="1"/>
    <col min="4" max="4" width="7.25390625" style="3" bestFit="1" customWidth="1"/>
    <col min="5" max="10" width="11.00390625" style="8" customWidth="1"/>
    <col min="11" max="11" width="11.00390625" style="2" customWidth="1"/>
    <col min="12" max="16384" width="9.125" style="8" customWidth="1"/>
  </cols>
  <sheetData>
    <row r="1" spans="1:11" s="24" customFormat="1" ht="18.75" thickBot="1">
      <c r="A1" s="17" t="s">
        <v>158</v>
      </c>
      <c r="D1" s="25"/>
      <c r="E1" s="20"/>
      <c r="F1" s="22"/>
      <c r="G1" s="20"/>
      <c r="H1" s="22"/>
      <c r="I1" s="20"/>
      <c r="J1" s="22"/>
      <c r="K1" s="20"/>
    </row>
    <row r="2" spans="1:11" s="26" customFormat="1" ht="16.5" thickBot="1">
      <c r="A2" s="276"/>
      <c r="B2" s="261" t="s">
        <v>57</v>
      </c>
      <c r="C2" s="280" t="s">
        <v>0</v>
      </c>
      <c r="D2" s="284" t="s">
        <v>3</v>
      </c>
      <c r="E2" s="268" t="s">
        <v>1</v>
      </c>
      <c r="F2" s="267"/>
      <c r="G2" s="269"/>
      <c r="H2" s="268" t="s">
        <v>5</v>
      </c>
      <c r="I2" s="267"/>
      <c r="J2" s="269"/>
      <c r="K2" s="282" t="s">
        <v>2</v>
      </c>
    </row>
    <row r="3" spans="1:11" s="26" customFormat="1" ht="30.75" thickBot="1">
      <c r="A3" s="277"/>
      <c r="B3" s="275"/>
      <c r="C3" s="281"/>
      <c r="D3" s="285"/>
      <c r="E3" s="69" t="s">
        <v>6</v>
      </c>
      <c r="F3" s="71" t="s">
        <v>7</v>
      </c>
      <c r="G3" s="37" t="s">
        <v>10</v>
      </c>
      <c r="H3" s="69" t="s">
        <v>6</v>
      </c>
      <c r="I3" s="71" t="s">
        <v>7</v>
      </c>
      <c r="J3" s="37" t="s">
        <v>9</v>
      </c>
      <c r="K3" s="283"/>
    </row>
    <row r="4" spans="1:13" s="26" customFormat="1" ht="20.25">
      <c r="A4" s="51">
        <v>1</v>
      </c>
      <c r="B4" s="123" t="s">
        <v>164</v>
      </c>
      <c r="C4" s="153" t="s">
        <v>20</v>
      </c>
      <c r="D4" s="144">
        <v>2008</v>
      </c>
      <c r="E4" s="88">
        <v>3.1</v>
      </c>
      <c r="F4" s="86">
        <f>10-1.45</f>
        <v>8.55</v>
      </c>
      <c r="G4" s="87">
        <f aca="true" t="shared" si="0" ref="G4:G12">+E4+F4</f>
        <v>11.65</v>
      </c>
      <c r="H4" s="60">
        <v>3</v>
      </c>
      <c r="I4" s="86">
        <f>10-1.5</f>
        <v>8.5</v>
      </c>
      <c r="J4" s="87">
        <f aca="true" t="shared" si="1" ref="J4:J12">+H4+I4</f>
        <v>11.5</v>
      </c>
      <c r="K4" s="176">
        <f aca="true" t="shared" si="2" ref="K4:K12">J4+G4</f>
        <v>23.15</v>
      </c>
      <c r="M4" s="121"/>
    </row>
    <row r="5" spans="1:13" s="26" customFormat="1" ht="15.75">
      <c r="A5" s="54">
        <v>2</v>
      </c>
      <c r="B5" s="53" t="s">
        <v>182</v>
      </c>
      <c r="C5" s="89" t="s">
        <v>31</v>
      </c>
      <c r="D5" s="143">
        <v>2008</v>
      </c>
      <c r="E5" s="78">
        <v>2.8</v>
      </c>
      <c r="F5" s="73">
        <f>10-2.5</f>
        <v>7.5</v>
      </c>
      <c r="G5" s="42">
        <f t="shared" si="0"/>
        <v>10.3</v>
      </c>
      <c r="H5" s="55">
        <v>2.1</v>
      </c>
      <c r="I5" s="73">
        <f>10-1.8</f>
        <v>8.2</v>
      </c>
      <c r="J5" s="42">
        <f t="shared" si="1"/>
        <v>10.299999999999999</v>
      </c>
      <c r="K5" s="177">
        <f t="shared" si="2"/>
        <v>20.6</v>
      </c>
      <c r="M5" s="118"/>
    </row>
    <row r="6" spans="1:13" s="26" customFormat="1" ht="15.75">
      <c r="A6" s="82">
        <v>3</v>
      </c>
      <c r="B6" s="53" t="s">
        <v>85</v>
      </c>
      <c r="C6" s="117" t="s">
        <v>13</v>
      </c>
      <c r="D6" s="143">
        <v>2008</v>
      </c>
      <c r="E6" s="78">
        <v>3.1</v>
      </c>
      <c r="F6" s="73">
        <f>10-3.7</f>
        <v>6.3</v>
      </c>
      <c r="G6" s="42">
        <f t="shared" si="0"/>
        <v>9.4</v>
      </c>
      <c r="H6" s="55">
        <v>2.9</v>
      </c>
      <c r="I6" s="73">
        <f>10-1.85</f>
        <v>8.15</v>
      </c>
      <c r="J6" s="42">
        <f t="shared" si="1"/>
        <v>11.05</v>
      </c>
      <c r="K6" s="177">
        <f t="shared" si="2"/>
        <v>20.450000000000003</v>
      </c>
      <c r="M6" s="118"/>
    </row>
    <row r="7" spans="1:13" s="26" customFormat="1" ht="15.75">
      <c r="A7" s="54">
        <v>4</v>
      </c>
      <c r="B7" s="53" t="s">
        <v>162</v>
      </c>
      <c r="C7" s="117" t="s">
        <v>32</v>
      </c>
      <c r="D7" s="143">
        <v>2008</v>
      </c>
      <c r="E7" s="78">
        <v>2.2</v>
      </c>
      <c r="F7" s="73">
        <f>10-2.35</f>
        <v>7.65</v>
      </c>
      <c r="G7" s="42">
        <f t="shared" si="0"/>
        <v>9.850000000000001</v>
      </c>
      <c r="H7" s="55">
        <v>2.3</v>
      </c>
      <c r="I7" s="73">
        <f>10-2.8</f>
        <v>7.2</v>
      </c>
      <c r="J7" s="42">
        <f t="shared" si="1"/>
        <v>9.5</v>
      </c>
      <c r="K7" s="177">
        <f t="shared" si="2"/>
        <v>19.35</v>
      </c>
      <c r="M7" s="118"/>
    </row>
    <row r="8" spans="1:11" s="26" customFormat="1" ht="15.75">
      <c r="A8" s="82">
        <v>5</v>
      </c>
      <c r="B8" s="53" t="s">
        <v>181</v>
      </c>
      <c r="C8" s="89" t="s">
        <v>31</v>
      </c>
      <c r="D8" s="143">
        <v>2008</v>
      </c>
      <c r="E8" s="78">
        <v>2.3</v>
      </c>
      <c r="F8" s="73">
        <f>10-3.45</f>
        <v>6.55</v>
      </c>
      <c r="G8" s="42">
        <f t="shared" si="0"/>
        <v>8.85</v>
      </c>
      <c r="H8" s="55">
        <v>2.2</v>
      </c>
      <c r="I8" s="73">
        <f>10-2.35</f>
        <v>7.65</v>
      </c>
      <c r="J8" s="42">
        <f t="shared" si="1"/>
        <v>9.850000000000001</v>
      </c>
      <c r="K8" s="177">
        <f t="shared" si="2"/>
        <v>18.700000000000003</v>
      </c>
    </row>
    <row r="9" spans="1:11" s="26" customFormat="1" ht="15.75">
      <c r="A9" s="54">
        <v>6</v>
      </c>
      <c r="B9" s="53" t="s">
        <v>103</v>
      </c>
      <c r="C9" s="117" t="s">
        <v>20</v>
      </c>
      <c r="D9" s="143">
        <v>2008</v>
      </c>
      <c r="E9" s="78">
        <v>3</v>
      </c>
      <c r="F9" s="73">
        <f>10-4.4</f>
        <v>5.6</v>
      </c>
      <c r="G9" s="42">
        <f t="shared" si="0"/>
        <v>8.6</v>
      </c>
      <c r="H9" s="55">
        <v>3</v>
      </c>
      <c r="I9" s="73">
        <f>10-3.45</f>
        <v>6.55</v>
      </c>
      <c r="J9" s="42">
        <f t="shared" si="1"/>
        <v>9.55</v>
      </c>
      <c r="K9" s="177">
        <f t="shared" si="2"/>
        <v>18.15</v>
      </c>
    </row>
    <row r="10" spans="1:11" s="26" customFormat="1" ht="15.75">
      <c r="A10" s="82">
        <v>7</v>
      </c>
      <c r="B10" s="53" t="s">
        <v>76</v>
      </c>
      <c r="C10" s="117" t="s">
        <v>42</v>
      </c>
      <c r="D10" s="143">
        <v>2008</v>
      </c>
      <c r="E10" s="78">
        <v>2.9</v>
      </c>
      <c r="F10" s="73">
        <f>10-4.6</f>
        <v>5.4</v>
      </c>
      <c r="G10" s="42">
        <f t="shared" si="0"/>
        <v>8.3</v>
      </c>
      <c r="H10" s="55">
        <v>2.8</v>
      </c>
      <c r="I10" s="73">
        <f>10-3.3</f>
        <v>6.7</v>
      </c>
      <c r="J10" s="42">
        <f t="shared" si="1"/>
        <v>9.5</v>
      </c>
      <c r="K10" s="177">
        <f t="shared" si="2"/>
        <v>17.8</v>
      </c>
    </row>
    <row r="11" spans="1:11" s="26" customFormat="1" ht="15.75">
      <c r="A11" s="54">
        <v>8</v>
      </c>
      <c r="B11" s="53" t="s">
        <v>163</v>
      </c>
      <c r="C11" s="117" t="s">
        <v>32</v>
      </c>
      <c r="D11" s="143">
        <v>2008</v>
      </c>
      <c r="E11" s="78">
        <v>1.7</v>
      </c>
      <c r="F11" s="73">
        <f>10-3.6</f>
        <v>6.4</v>
      </c>
      <c r="G11" s="42">
        <f t="shared" si="0"/>
        <v>8.1</v>
      </c>
      <c r="H11" s="55">
        <v>1.1</v>
      </c>
      <c r="I11" s="73">
        <f>10-3</f>
        <v>7</v>
      </c>
      <c r="J11" s="42">
        <f t="shared" si="1"/>
        <v>8.1</v>
      </c>
      <c r="K11" s="177">
        <f t="shared" si="2"/>
        <v>16.2</v>
      </c>
    </row>
    <row r="12" spans="1:11" s="26" customFormat="1" ht="16.5" thickBot="1">
      <c r="A12" s="151">
        <v>9</v>
      </c>
      <c r="B12" s="56" t="s">
        <v>77</v>
      </c>
      <c r="C12" s="135" t="s">
        <v>42</v>
      </c>
      <c r="D12" s="145">
        <v>2008</v>
      </c>
      <c r="E12" s="79">
        <v>2.9</v>
      </c>
      <c r="F12" s="74">
        <f>10-6.95</f>
        <v>3.05</v>
      </c>
      <c r="G12" s="49">
        <f t="shared" si="0"/>
        <v>5.949999999999999</v>
      </c>
      <c r="H12" s="58">
        <v>2.4</v>
      </c>
      <c r="I12" s="74">
        <f>10-3.4</f>
        <v>6.6</v>
      </c>
      <c r="J12" s="49">
        <f t="shared" si="1"/>
        <v>9</v>
      </c>
      <c r="K12" s="178">
        <f t="shared" si="2"/>
        <v>14.95</v>
      </c>
    </row>
    <row r="13" spans="7:10" ht="12.75">
      <c r="G13" s="2"/>
      <c r="J13" s="2"/>
    </row>
    <row r="14" spans="7:10" ht="12.75">
      <c r="G14" s="2"/>
      <c r="J14" s="2"/>
    </row>
    <row r="15" spans="7:10" ht="12.75">
      <c r="G15" s="2"/>
      <c r="J15" s="2"/>
    </row>
    <row r="16" spans="7:10" ht="12.75">
      <c r="G16" s="2"/>
      <c r="J16" s="2"/>
    </row>
    <row r="17" spans="7:10" ht="12.75">
      <c r="G17" s="2"/>
      <c r="J17" s="2"/>
    </row>
    <row r="18" spans="7:10" ht="12.75">
      <c r="G18" s="2"/>
      <c r="J18" s="2"/>
    </row>
    <row r="19" spans="7:10" ht="12.75">
      <c r="G19" s="2"/>
      <c r="J19" s="2"/>
    </row>
    <row r="20" spans="7:10" ht="12.75">
      <c r="G20" s="2"/>
      <c r="J20" s="2"/>
    </row>
    <row r="21" spans="7:10" ht="12.75">
      <c r="G21" s="2"/>
      <c r="J21" s="2"/>
    </row>
    <row r="22" spans="7:10" ht="12.75">
      <c r="G22" s="2"/>
      <c r="J22" s="2"/>
    </row>
    <row r="23" spans="7:10" ht="12.75">
      <c r="G23" s="2"/>
      <c r="J23" s="2"/>
    </row>
    <row r="24" spans="7:10" ht="12.75">
      <c r="G24" s="2"/>
      <c r="J24" s="2"/>
    </row>
    <row r="25" spans="7:10" ht="12.75">
      <c r="G25" s="2"/>
      <c r="J25" s="2"/>
    </row>
    <row r="26" spans="7:10" ht="12.75">
      <c r="G26" s="2"/>
      <c r="J26" s="2"/>
    </row>
    <row r="27" spans="7:10" ht="12.75">
      <c r="G27" s="2"/>
      <c r="J27" s="2"/>
    </row>
    <row r="28" spans="7:10" ht="12.75">
      <c r="G28" s="2"/>
      <c r="J28" s="2"/>
    </row>
    <row r="29" spans="7:10" ht="12.75">
      <c r="G29" s="2"/>
      <c r="J29" s="2"/>
    </row>
    <row r="30" spans="7:10" ht="12.75">
      <c r="G30" s="2"/>
      <c r="J30" s="2"/>
    </row>
    <row r="31" spans="7:10" ht="12.75">
      <c r="G31" s="2"/>
      <c r="J31" s="2"/>
    </row>
    <row r="34" spans="1:11" s="28" customFormat="1" ht="15">
      <c r="A34" s="29"/>
      <c r="D34" s="30"/>
      <c r="K34" s="40"/>
    </row>
    <row r="35" spans="1:11" s="28" customFormat="1" ht="15">
      <c r="A35" s="29"/>
      <c r="D35" s="30"/>
      <c r="K35" s="40"/>
    </row>
    <row r="36" spans="1:11" s="28" customFormat="1" ht="15">
      <c r="A36" s="29"/>
      <c r="D36" s="30"/>
      <c r="K36" s="40"/>
    </row>
    <row r="37" spans="1:11" s="28" customFormat="1" ht="15">
      <c r="A37" s="29"/>
      <c r="D37" s="30"/>
      <c r="K37" s="40"/>
    </row>
    <row r="38" spans="1:11" s="28" customFormat="1" ht="15">
      <c r="A38" s="29"/>
      <c r="D38" s="30"/>
      <c r="K38" s="40"/>
    </row>
    <row r="39" spans="1:11" s="28" customFormat="1" ht="15">
      <c r="A39" s="29"/>
      <c r="D39" s="30"/>
      <c r="K39" s="40"/>
    </row>
    <row r="40" spans="1:11" s="28" customFormat="1" ht="15">
      <c r="A40" s="29"/>
      <c r="D40" s="30"/>
      <c r="K40" s="40"/>
    </row>
    <row r="41" spans="1:11" s="28" customFormat="1" ht="15">
      <c r="A41" s="29"/>
      <c r="D41" s="30"/>
      <c r="K41" s="40"/>
    </row>
    <row r="42" spans="1:11" s="28" customFormat="1" ht="15">
      <c r="A42" s="29"/>
      <c r="D42" s="30"/>
      <c r="K42" s="40"/>
    </row>
    <row r="43" spans="1:11" s="28" customFormat="1" ht="15">
      <c r="A43" s="29"/>
      <c r="D43" s="30"/>
      <c r="K43" s="40"/>
    </row>
    <row r="44" spans="1:11" s="28" customFormat="1" ht="15">
      <c r="A44" s="29"/>
      <c r="D44" s="30"/>
      <c r="K44" s="40"/>
    </row>
    <row r="45" spans="1:11" s="28" customFormat="1" ht="15">
      <c r="A45" s="29"/>
      <c r="D45" s="30"/>
      <c r="K45" s="40"/>
    </row>
    <row r="46" spans="1:11" s="28" customFormat="1" ht="15">
      <c r="A46" s="29"/>
      <c r="D46" s="30"/>
      <c r="K46" s="40"/>
    </row>
    <row r="47" spans="1:11" s="28" customFormat="1" ht="15">
      <c r="A47" s="29"/>
      <c r="D47" s="30"/>
      <c r="K47" s="40"/>
    </row>
    <row r="48" spans="1:11" s="28" customFormat="1" ht="15">
      <c r="A48" s="29"/>
      <c r="D48" s="30"/>
      <c r="K48" s="40"/>
    </row>
    <row r="49" spans="1:11" s="28" customFormat="1" ht="15">
      <c r="A49" s="29"/>
      <c r="D49" s="30"/>
      <c r="K49" s="40"/>
    </row>
    <row r="50" spans="1:11" s="28" customFormat="1" ht="15">
      <c r="A50" s="29"/>
      <c r="D50" s="30"/>
      <c r="K50" s="40"/>
    </row>
    <row r="51" spans="1:11" s="28" customFormat="1" ht="15">
      <c r="A51" s="29"/>
      <c r="D51" s="30"/>
      <c r="K51" s="40"/>
    </row>
    <row r="52" spans="1:11" s="28" customFormat="1" ht="15">
      <c r="A52" s="29"/>
      <c r="D52" s="30"/>
      <c r="K52" s="40"/>
    </row>
    <row r="53" spans="1:11" s="28" customFormat="1" ht="15">
      <c r="A53" s="29"/>
      <c r="D53" s="30"/>
      <c r="K53" s="40"/>
    </row>
    <row r="54" spans="1:11" s="28" customFormat="1" ht="15">
      <c r="A54" s="29"/>
      <c r="D54" s="30"/>
      <c r="K54" s="40"/>
    </row>
    <row r="55" spans="1:11" s="28" customFormat="1" ht="15">
      <c r="A55" s="29"/>
      <c r="D55" s="30"/>
      <c r="K55" s="40"/>
    </row>
  </sheetData>
  <sheetProtection/>
  <mergeCells count="7">
    <mergeCell ref="K2:K3"/>
    <mergeCell ref="A2:A3"/>
    <mergeCell ref="B2:B3"/>
    <mergeCell ref="D2:D3"/>
    <mergeCell ref="C2:C3"/>
    <mergeCell ref="E2:G2"/>
    <mergeCell ref="H2:J2"/>
  </mergeCells>
  <printOptions horizontalCentered="1"/>
  <pageMargins left="0.1968503937007874" right="0.1968503937007874" top="0.5511811023622047" bottom="0.984251968503937" header="0.31496062992125984" footer="0.5118110236220472"/>
  <pageSetup fitToHeight="1" fitToWidth="1" horizontalDpi="600" verticalDpi="600" orientation="landscape" paperSize="9" r:id="rId1"/>
  <headerFooter>
    <oddHeader>&amp;C5. ROČNÍK "POHÁDKOVÉHO ZÁVODU" 22.4.2018 V JIČÍNĚ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u_hladkaa00</dc:creator>
  <cp:keywords/>
  <dc:description/>
  <cp:lastModifiedBy>kodesova</cp:lastModifiedBy>
  <cp:lastPrinted>2018-04-23T15:24:29Z</cp:lastPrinted>
  <dcterms:created xsi:type="dcterms:W3CDTF">2002-01-10T05:32:29Z</dcterms:created>
  <dcterms:modified xsi:type="dcterms:W3CDTF">2018-04-23T15:26:00Z</dcterms:modified>
  <cp:category/>
  <cp:version/>
  <cp:contentType/>
  <cp:contentStatus/>
</cp:coreProperties>
</file>